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showInkAnnotation="0"/>
  <mc:AlternateContent xmlns:mc="http://schemas.openxmlformats.org/markup-compatibility/2006">
    <mc:Choice Requires="x15">
      <x15ac:absPath xmlns:x15ac="http://schemas.microsoft.com/office/spreadsheetml/2010/11/ac" url="https://virginiatech-my.sharepoint.com/personal/maxs22_vt_edu/Documents/Appalachian Trail/"/>
    </mc:Choice>
  </mc:AlternateContent>
  <xr:revisionPtr revIDLastSave="0" documentId="8_{FE7924DF-1DC8-8842-B374-66EF60C3652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6" i="1" l="1" a="1"/>
  <c r="X136" i="1"/>
  <c r="X137" i="1" a="1"/>
  <c r="X137" i="1"/>
  <c r="X138" i="1" a="1"/>
  <c r="X138" i="1"/>
  <c r="X139" i="1" a="1"/>
  <c r="X139" i="1"/>
  <c r="X140" i="1" a="1"/>
  <c r="X140" i="1"/>
  <c r="X141" i="1" a="1"/>
  <c r="X141" i="1"/>
  <c r="X142" i="1" a="1"/>
  <c r="X142" i="1"/>
  <c r="X143" i="1" a="1"/>
  <c r="X143" i="1"/>
  <c r="X144" i="1" a="1"/>
  <c r="X144" i="1"/>
  <c r="X145" i="1" a="1"/>
  <c r="X145" i="1"/>
  <c r="X146" i="1" a="1"/>
  <c r="X146" i="1"/>
  <c r="X147" i="1" a="1"/>
  <c r="X147" i="1"/>
  <c r="X148" i="1" a="1"/>
  <c r="X148" i="1"/>
  <c r="X149" i="1" a="1"/>
  <c r="X149" i="1"/>
  <c r="X135" i="1" a="1"/>
  <c r="X135" i="1"/>
  <c r="R75" i="1"/>
  <c r="P75" i="1"/>
  <c r="L75" i="1"/>
  <c r="J25" i="1"/>
  <c r="R25" i="1"/>
  <c r="P25" i="1"/>
  <c r="L25" i="1"/>
  <c r="J26" i="1"/>
  <c r="R26" i="1"/>
  <c r="P26" i="1"/>
  <c r="L26" i="1"/>
  <c r="J27" i="1"/>
  <c r="R27" i="1"/>
  <c r="P27" i="1"/>
  <c r="L27" i="1"/>
  <c r="J28" i="1"/>
  <c r="R28" i="1"/>
  <c r="P28" i="1"/>
  <c r="L28" i="1"/>
  <c r="R29" i="1"/>
  <c r="P29" i="1"/>
  <c r="L29" i="1"/>
  <c r="J30" i="1"/>
  <c r="R30" i="1"/>
  <c r="P30" i="1"/>
  <c r="L30" i="1"/>
  <c r="R31" i="1"/>
  <c r="P31" i="1"/>
  <c r="L31" i="1"/>
  <c r="R32" i="1"/>
  <c r="P32" i="1"/>
  <c r="L32" i="1"/>
  <c r="R33" i="1"/>
  <c r="P33" i="1"/>
  <c r="L33" i="1"/>
  <c r="J34" i="1"/>
  <c r="R34" i="1"/>
  <c r="P34" i="1"/>
  <c r="L34" i="1"/>
  <c r="J35" i="1"/>
  <c r="R35" i="1"/>
  <c r="P35" i="1"/>
  <c r="L35" i="1"/>
  <c r="R36" i="1"/>
  <c r="P36" i="1"/>
  <c r="L36" i="1"/>
  <c r="R37" i="1"/>
  <c r="P37" i="1"/>
  <c r="L37" i="1"/>
  <c r="J38" i="1"/>
  <c r="R38" i="1"/>
  <c r="P38" i="1"/>
  <c r="L38" i="1"/>
  <c r="R39" i="1"/>
  <c r="P39" i="1"/>
  <c r="L39" i="1"/>
  <c r="R40" i="1"/>
  <c r="P40" i="1"/>
  <c r="L40" i="1"/>
  <c r="R41" i="1"/>
  <c r="P41" i="1"/>
  <c r="L41" i="1"/>
  <c r="R42" i="1"/>
  <c r="P42" i="1"/>
  <c r="L42" i="1"/>
  <c r="R43" i="1"/>
  <c r="P43" i="1"/>
  <c r="L43" i="1"/>
  <c r="R44" i="1"/>
  <c r="P44" i="1"/>
  <c r="L44" i="1"/>
  <c r="R45" i="1"/>
  <c r="P45" i="1"/>
  <c r="L45" i="1"/>
  <c r="R46" i="1"/>
  <c r="P46" i="1"/>
  <c r="L46" i="1"/>
  <c r="R47" i="1"/>
  <c r="P47" i="1"/>
  <c r="L47" i="1"/>
  <c r="R48" i="1"/>
  <c r="P48" i="1"/>
  <c r="L48" i="1"/>
  <c r="R49" i="1"/>
  <c r="P49" i="1"/>
  <c r="L49" i="1"/>
  <c r="R50" i="1"/>
  <c r="P50" i="1"/>
  <c r="L50" i="1"/>
  <c r="R51" i="1"/>
  <c r="P51" i="1"/>
  <c r="L51" i="1"/>
  <c r="R52" i="1"/>
  <c r="P52" i="1"/>
  <c r="L52" i="1"/>
  <c r="R53" i="1"/>
  <c r="P53" i="1"/>
  <c r="L53" i="1"/>
  <c r="J54" i="1"/>
  <c r="R54" i="1"/>
  <c r="P54" i="1"/>
  <c r="L54" i="1"/>
  <c r="R55" i="1"/>
  <c r="P55" i="1"/>
  <c r="L55" i="1"/>
  <c r="R56" i="1"/>
  <c r="P56" i="1"/>
  <c r="L56" i="1"/>
  <c r="J57" i="1"/>
  <c r="R57" i="1"/>
  <c r="P57" i="1"/>
  <c r="L57" i="1"/>
  <c r="R58" i="1"/>
  <c r="P58" i="1"/>
  <c r="L58" i="1"/>
  <c r="R59" i="1"/>
  <c r="P59" i="1"/>
  <c r="L59" i="1"/>
  <c r="R60" i="1"/>
  <c r="P60" i="1"/>
  <c r="L60" i="1"/>
  <c r="J61" i="1"/>
  <c r="R61" i="1"/>
  <c r="P61" i="1"/>
  <c r="L61" i="1"/>
  <c r="J62" i="1"/>
  <c r="R62" i="1"/>
  <c r="P62" i="1"/>
  <c r="L62" i="1"/>
  <c r="R63" i="1"/>
  <c r="P63" i="1"/>
  <c r="L63" i="1"/>
  <c r="R64" i="1"/>
  <c r="P64" i="1"/>
  <c r="L64" i="1"/>
  <c r="R65" i="1"/>
  <c r="P65" i="1"/>
  <c r="L65" i="1"/>
  <c r="R66" i="1"/>
  <c r="P66" i="1"/>
  <c r="L66" i="1"/>
  <c r="J67" i="1"/>
  <c r="R67" i="1"/>
  <c r="P67" i="1"/>
  <c r="L67" i="1"/>
  <c r="R68" i="1"/>
  <c r="P68" i="1"/>
  <c r="L68" i="1"/>
  <c r="R69" i="1"/>
  <c r="P69" i="1"/>
  <c r="L69" i="1"/>
  <c r="R70" i="1"/>
  <c r="P70" i="1"/>
  <c r="L70" i="1"/>
  <c r="J71" i="1"/>
  <c r="R71" i="1"/>
  <c r="P71" i="1"/>
  <c r="L71" i="1"/>
  <c r="R72" i="1"/>
  <c r="P72" i="1"/>
  <c r="L72" i="1"/>
  <c r="J73" i="1"/>
  <c r="R73" i="1"/>
  <c r="P73" i="1"/>
  <c r="L73" i="1"/>
  <c r="R74" i="1"/>
  <c r="P74" i="1"/>
  <c r="L74" i="1"/>
  <c r="R76" i="1"/>
  <c r="P76" i="1"/>
  <c r="L76" i="1"/>
  <c r="R78" i="1"/>
  <c r="P78" i="1"/>
  <c r="L78" i="1"/>
  <c r="R79" i="1"/>
  <c r="P79" i="1"/>
  <c r="L79" i="1"/>
  <c r="R80" i="1"/>
  <c r="P80" i="1"/>
  <c r="L80" i="1"/>
  <c r="R81" i="1"/>
  <c r="P81" i="1"/>
  <c r="L81" i="1"/>
  <c r="R82" i="1"/>
  <c r="P82" i="1"/>
  <c r="L82" i="1"/>
  <c r="R83" i="1"/>
  <c r="P83" i="1"/>
  <c r="L83" i="1"/>
  <c r="J84" i="1"/>
  <c r="R84" i="1"/>
  <c r="P84" i="1"/>
  <c r="L84" i="1"/>
  <c r="J85" i="1"/>
  <c r="R85" i="1"/>
  <c r="P85" i="1"/>
  <c r="L85" i="1"/>
  <c r="R86" i="1"/>
  <c r="P86" i="1"/>
  <c r="L86" i="1"/>
  <c r="R87" i="1"/>
  <c r="P87" i="1"/>
  <c r="L87" i="1"/>
  <c r="R88" i="1"/>
  <c r="P88" i="1"/>
  <c r="L88" i="1"/>
  <c r="R89" i="1"/>
  <c r="P89" i="1"/>
  <c r="L89" i="1"/>
  <c r="R90" i="1"/>
  <c r="P90" i="1"/>
  <c r="L90" i="1"/>
  <c r="R91" i="1"/>
  <c r="P91" i="1"/>
  <c r="L91" i="1"/>
  <c r="R92" i="1"/>
  <c r="P92" i="1"/>
  <c r="L92" i="1"/>
  <c r="J93" i="1"/>
  <c r="R93" i="1"/>
  <c r="P93" i="1"/>
  <c r="L93" i="1"/>
  <c r="R94" i="1"/>
  <c r="P94" i="1"/>
  <c r="L94" i="1"/>
  <c r="J95" i="1"/>
  <c r="R95" i="1"/>
  <c r="P95" i="1"/>
  <c r="L95" i="1"/>
  <c r="J96" i="1"/>
  <c r="R96" i="1"/>
  <c r="P96" i="1"/>
  <c r="L96" i="1"/>
  <c r="R97" i="1"/>
  <c r="P97" i="1"/>
  <c r="L97" i="1"/>
  <c r="R98" i="1"/>
  <c r="P98" i="1"/>
  <c r="L98" i="1"/>
  <c r="R99" i="1"/>
  <c r="P99" i="1"/>
  <c r="L99" i="1"/>
  <c r="R100" i="1"/>
  <c r="P100" i="1"/>
  <c r="L100" i="1"/>
  <c r="R101" i="1"/>
  <c r="P101" i="1"/>
  <c r="L101" i="1"/>
  <c r="R102" i="1"/>
  <c r="P102" i="1"/>
  <c r="L102" i="1"/>
  <c r="J103" i="1"/>
  <c r="R103" i="1"/>
  <c r="P103" i="1"/>
  <c r="L103" i="1"/>
  <c r="R104" i="1"/>
  <c r="P104" i="1"/>
  <c r="L104" i="1"/>
  <c r="R105" i="1"/>
  <c r="P105" i="1"/>
  <c r="L105" i="1"/>
  <c r="R106" i="1"/>
  <c r="P106" i="1"/>
  <c r="L106" i="1"/>
  <c r="R107" i="1"/>
  <c r="P107" i="1"/>
  <c r="L107" i="1"/>
  <c r="R108" i="1"/>
  <c r="P108" i="1"/>
  <c r="L108" i="1"/>
  <c r="R109" i="1"/>
  <c r="P109" i="1"/>
  <c r="L109" i="1"/>
  <c r="J110" i="1"/>
  <c r="R110" i="1"/>
  <c r="P110" i="1"/>
  <c r="L110" i="1"/>
  <c r="J111" i="1"/>
  <c r="R111" i="1"/>
  <c r="P111" i="1"/>
  <c r="L111" i="1"/>
  <c r="R112" i="1"/>
  <c r="P112" i="1"/>
  <c r="L112" i="1"/>
  <c r="R113" i="1"/>
  <c r="P113" i="1"/>
  <c r="L113" i="1"/>
  <c r="J114" i="1"/>
  <c r="R114" i="1"/>
  <c r="P114" i="1"/>
  <c r="L114" i="1"/>
  <c r="J77" i="1"/>
  <c r="R77" i="1"/>
  <c r="P77" i="1"/>
  <c r="L77" i="1"/>
  <c r="R115" i="1"/>
  <c r="P115" i="1"/>
  <c r="L115" i="1"/>
  <c r="K116" i="1"/>
  <c r="R116" i="1"/>
  <c r="P116" i="1"/>
  <c r="L116" i="1"/>
  <c r="R117" i="1"/>
  <c r="P117" i="1"/>
  <c r="L117" i="1"/>
  <c r="J118" i="1"/>
  <c r="R118" i="1"/>
  <c r="P118" i="1"/>
  <c r="L118" i="1"/>
  <c r="R119" i="1"/>
  <c r="P119" i="1"/>
  <c r="L119" i="1"/>
  <c r="K120" i="1"/>
  <c r="R120" i="1"/>
  <c r="P120" i="1"/>
  <c r="L120" i="1"/>
  <c r="J121" i="1"/>
  <c r="R121" i="1"/>
  <c r="P121" i="1"/>
  <c r="L121" i="1"/>
  <c r="J123" i="1"/>
  <c r="R123" i="1"/>
  <c r="P123" i="1"/>
  <c r="L123" i="1"/>
  <c r="R122" i="1"/>
  <c r="P122" i="1"/>
  <c r="L122" i="1"/>
  <c r="R124" i="1"/>
  <c r="P124" i="1"/>
  <c r="L124" i="1"/>
  <c r="R125" i="1"/>
  <c r="P125" i="1"/>
  <c r="L125" i="1"/>
  <c r="K126" i="1"/>
  <c r="R126" i="1"/>
  <c r="P126" i="1"/>
  <c r="L126" i="1"/>
  <c r="L127" i="1"/>
  <c r="L128" i="1"/>
  <c r="S75" i="1"/>
  <c r="M75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6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77" i="1"/>
  <c r="M115" i="1"/>
  <c r="M116" i="1"/>
  <c r="M117" i="1"/>
  <c r="M118" i="1"/>
  <c r="M119" i="1"/>
  <c r="M120" i="1"/>
  <c r="M121" i="1"/>
  <c r="M123" i="1"/>
  <c r="M122" i="1"/>
  <c r="M124" i="1"/>
  <c r="M125" i="1"/>
  <c r="M126" i="1"/>
  <c r="M127" i="1"/>
  <c r="M128" i="1"/>
  <c r="U75" i="1"/>
  <c r="N75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6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77" i="1"/>
  <c r="N115" i="1"/>
  <c r="N116" i="1"/>
  <c r="N117" i="1"/>
  <c r="N118" i="1"/>
  <c r="N119" i="1"/>
  <c r="N120" i="1"/>
  <c r="N121" i="1"/>
  <c r="N123" i="1"/>
  <c r="N122" i="1"/>
  <c r="N124" i="1"/>
  <c r="N125" i="1"/>
  <c r="N126" i="1"/>
  <c r="N127" i="1"/>
  <c r="N128" i="1"/>
  <c r="T75" i="1"/>
  <c r="V75" i="1"/>
  <c r="S25" i="1"/>
  <c r="U25" i="1"/>
  <c r="T25" i="1"/>
  <c r="V25" i="1"/>
  <c r="S26" i="1"/>
  <c r="U26" i="1"/>
  <c r="T26" i="1"/>
  <c r="V26" i="1"/>
  <c r="S27" i="1"/>
  <c r="U27" i="1"/>
  <c r="T27" i="1"/>
  <c r="V27" i="1"/>
  <c r="S28" i="1"/>
  <c r="U28" i="1"/>
  <c r="T28" i="1"/>
  <c r="V28" i="1"/>
  <c r="S29" i="1"/>
  <c r="U29" i="1"/>
  <c r="T29" i="1"/>
  <c r="V29" i="1"/>
  <c r="S30" i="1"/>
  <c r="U30" i="1"/>
  <c r="T30" i="1"/>
  <c r="V30" i="1"/>
  <c r="S31" i="1"/>
  <c r="U31" i="1"/>
  <c r="T31" i="1"/>
  <c r="V31" i="1"/>
  <c r="S32" i="1"/>
  <c r="U32" i="1"/>
  <c r="T32" i="1"/>
  <c r="V32" i="1"/>
  <c r="S33" i="1"/>
  <c r="U33" i="1"/>
  <c r="T33" i="1"/>
  <c r="V33" i="1"/>
  <c r="S34" i="1"/>
  <c r="U34" i="1"/>
  <c r="T34" i="1"/>
  <c r="V34" i="1"/>
  <c r="S35" i="1"/>
  <c r="U35" i="1"/>
  <c r="T35" i="1"/>
  <c r="V35" i="1"/>
  <c r="S36" i="1"/>
  <c r="U36" i="1"/>
  <c r="T36" i="1"/>
  <c r="V36" i="1"/>
  <c r="S37" i="1"/>
  <c r="U37" i="1"/>
  <c r="T37" i="1"/>
  <c r="V37" i="1"/>
  <c r="S38" i="1"/>
  <c r="U38" i="1"/>
  <c r="T38" i="1"/>
  <c r="V38" i="1"/>
  <c r="S39" i="1"/>
  <c r="U39" i="1"/>
  <c r="T39" i="1"/>
  <c r="V39" i="1"/>
  <c r="S40" i="1"/>
  <c r="U40" i="1"/>
  <c r="T40" i="1"/>
  <c r="V40" i="1"/>
  <c r="S41" i="1"/>
  <c r="U41" i="1"/>
  <c r="T41" i="1"/>
  <c r="V41" i="1"/>
  <c r="S42" i="1"/>
  <c r="U42" i="1"/>
  <c r="T42" i="1"/>
  <c r="V42" i="1"/>
  <c r="S43" i="1"/>
  <c r="U43" i="1"/>
  <c r="T43" i="1"/>
  <c r="V43" i="1"/>
  <c r="S44" i="1"/>
  <c r="U44" i="1"/>
  <c r="T44" i="1"/>
  <c r="V44" i="1"/>
  <c r="S45" i="1"/>
  <c r="U45" i="1"/>
  <c r="T45" i="1"/>
  <c r="V45" i="1"/>
  <c r="S46" i="1"/>
  <c r="U46" i="1"/>
  <c r="T46" i="1"/>
  <c r="V46" i="1"/>
  <c r="S47" i="1"/>
  <c r="U47" i="1"/>
  <c r="T47" i="1"/>
  <c r="V47" i="1"/>
  <c r="S48" i="1"/>
  <c r="U48" i="1"/>
  <c r="T48" i="1"/>
  <c r="V48" i="1"/>
  <c r="S49" i="1"/>
  <c r="U49" i="1"/>
  <c r="T49" i="1"/>
  <c r="V49" i="1"/>
  <c r="S50" i="1"/>
  <c r="U50" i="1"/>
  <c r="T50" i="1"/>
  <c r="V50" i="1"/>
  <c r="S51" i="1"/>
  <c r="U51" i="1"/>
  <c r="T51" i="1"/>
  <c r="V51" i="1"/>
  <c r="S52" i="1"/>
  <c r="U52" i="1"/>
  <c r="T52" i="1"/>
  <c r="V52" i="1"/>
  <c r="S53" i="1"/>
  <c r="U53" i="1"/>
  <c r="T53" i="1"/>
  <c r="V53" i="1"/>
  <c r="S54" i="1"/>
  <c r="U54" i="1"/>
  <c r="T54" i="1"/>
  <c r="V54" i="1"/>
  <c r="S55" i="1"/>
  <c r="U55" i="1"/>
  <c r="T55" i="1"/>
  <c r="V55" i="1"/>
  <c r="S56" i="1"/>
  <c r="U56" i="1"/>
  <c r="T56" i="1"/>
  <c r="V56" i="1"/>
  <c r="S57" i="1"/>
  <c r="U57" i="1"/>
  <c r="T57" i="1"/>
  <c r="V57" i="1"/>
  <c r="S58" i="1"/>
  <c r="U58" i="1"/>
  <c r="T58" i="1"/>
  <c r="V58" i="1"/>
  <c r="S59" i="1"/>
  <c r="U59" i="1"/>
  <c r="T59" i="1"/>
  <c r="V59" i="1"/>
  <c r="S60" i="1"/>
  <c r="U60" i="1"/>
  <c r="T60" i="1"/>
  <c r="V60" i="1"/>
  <c r="S61" i="1"/>
  <c r="U61" i="1"/>
  <c r="T61" i="1"/>
  <c r="V61" i="1"/>
  <c r="S62" i="1"/>
  <c r="U62" i="1"/>
  <c r="T62" i="1"/>
  <c r="V62" i="1"/>
  <c r="S63" i="1"/>
  <c r="U63" i="1"/>
  <c r="T63" i="1"/>
  <c r="V63" i="1"/>
  <c r="S64" i="1"/>
  <c r="U64" i="1"/>
  <c r="T64" i="1"/>
  <c r="V64" i="1"/>
  <c r="S65" i="1"/>
  <c r="U65" i="1"/>
  <c r="T65" i="1"/>
  <c r="V65" i="1"/>
  <c r="S66" i="1"/>
  <c r="U66" i="1"/>
  <c r="T66" i="1"/>
  <c r="V66" i="1"/>
  <c r="S67" i="1"/>
  <c r="U67" i="1"/>
  <c r="T67" i="1"/>
  <c r="V67" i="1"/>
  <c r="S68" i="1"/>
  <c r="U68" i="1"/>
  <c r="T68" i="1"/>
  <c r="V68" i="1"/>
  <c r="S69" i="1"/>
  <c r="U69" i="1"/>
  <c r="T69" i="1"/>
  <c r="V69" i="1"/>
  <c r="S70" i="1"/>
  <c r="U70" i="1"/>
  <c r="T70" i="1"/>
  <c r="V70" i="1"/>
  <c r="S71" i="1"/>
  <c r="U71" i="1"/>
  <c r="T71" i="1"/>
  <c r="V71" i="1"/>
  <c r="S72" i="1"/>
  <c r="U72" i="1"/>
  <c r="T72" i="1"/>
  <c r="V72" i="1"/>
  <c r="S73" i="1"/>
  <c r="U73" i="1"/>
  <c r="T73" i="1"/>
  <c r="V73" i="1"/>
  <c r="S74" i="1"/>
  <c r="U74" i="1"/>
  <c r="T74" i="1"/>
  <c r="V74" i="1"/>
  <c r="S76" i="1"/>
  <c r="U76" i="1"/>
  <c r="T76" i="1"/>
  <c r="V76" i="1"/>
  <c r="S78" i="1"/>
  <c r="U78" i="1"/>
  <c r="T78" i="1"/>
  <c r="V78" i="1"/>
  <c r="S79" i="1"/>
  <c r="U79" i="1"/>
  <c r="T79" i="1"/>
  <c r="V79" i="1"/>
  <c r="S80" i="1"/>
  <c r="U80" i="1"/>
  <c r="T80" i="1"/>
  <c r="V80" i="1"/>
  <c r="S81" i="1"/>
  <c r="U81" i="1"/>
  <c r="T81" i="1"/>
  <c r="V81" i="1"/>
  <c r="S82" i="1"/>
  <c r="U82" i="1"/>
  <c r="T82" i="1"/>
  <c r="V82" i="1"/>
  <c r="S83" i="1"/>
  <c r="U83" i="1"/>
  <c r="T83" i="1"/>
  <c r="V83" i="1"/>
  <c r="S84" i="1"/>
  <c r="U84" i="1"/>
  <c r="T84" i="1"/>
  <c r="V84" i="1"/>
  <c r="S85" i="1"/>
  <c r="U85" i="1"/>
  <c r="T85" i="1"/>
  <c r="V85" i="1"/>
  <c r="S86" i="1"/>
  <c r="U86" i="1"/>
  <c r="T86" i="1"/>
  <c r="V86" i="1"/>
  <c r="S87" i="1"/>
  <c r="U87" i="1"/>
  <c r="T87" i="1"/>
  <c r="V87" i="1"/>
  <c r="S88" i="1"/>
  <c r="U88" i="1"/>
  <c r="T88" i="1"/>
  <c r="V88" i="1"/>
  <c r="S89" i="1"/>
  <c r="U89" i="1"/>
  <c r="T89" i="1"/>
  <c r="V89" i="1"/>
  <c r="S90" i="1"/>
  <c r="U90" i="1"/>
  <c r="T90" i="1"/>
  <c r="V90" i="1"/>
  <c r="S91" i="1"/>
  <c r="U91" i="1"/>
  <c r="T91" i="1"/>
  <c r="V91" i="1"/>
  <c r="S92" i="1"/>
  <c r="U92" i="1"/>
  <c r="T92" i="1"/>
  <c r="V92" i="1"/>
  <c r="S93" i="1"/>
  <c r="U93" i="1"/>
  <c r="T93" i="1"/>
  <c r="V93" i="1"/>
  <c r="S94" i="1"/>
  <c r="U94" i="1"/>
  <c r="T94" i="1"/>
  <c r="V94" i="1"/>
  <c r="S95" i="1"/>
  <c r="U95" i="1"/>
  <c r="T95" i="1"/>
  <c r="V95" i="1"/>
  <c r="S96" i="1"/>
  <c r="U96" i="1"/>
  <c r="T96" i="1"/>
  <c r="V96" i="1"/>
  <c r="S97" i="1"/>
  <c r="U97" i="1"/>
  <c r="T97" i="1"/>
  <c r="V97" i="1"/>
  <c r="S98" i="1"/>
  <c r="U98" i="1"/>
  <c r="T98" i="1"/>
  <c r="V98" i="1"/>
  <c r="S99" i="1"/>
  <c r="U99" i="1"/>
  <c r="T99" i="1"/>
  <c r="V99" i="1"/>
  <c r="S100" i="1"/>
  <c r="U100" i="1"/>
  <c r="T100" i="1"/>
  <c r="V100" i="1"/>
  <c r="S101" i="1"/>
  <c r="U101" i="1"/>
  <c r="T101" i="1"/>
  <c r="V101" i="1"/>
  <c r="S102" i="1"/>
  <c r="U102" i="1"/>
  <c r="T102" i="1"/>
  <c r="V102" i="1"/>
  <c r="S103" i="1"/>
  <c r="U103" i="1"/>
  <c r="T103" i="1"/>
  <c r="V103" i="1"/>
  <c r="S104" i="1"/>
  <c r="U104" i="1"/>
  <c r="T104" i="1"/>
  <c r="V104" i="1"/>
  <c r="S105" i="1"/>
  <c r="U105" i="1"/>
  <c r="T105" i="1"/>
  <c r="V105" i="1"/>
  <c r="S106" i="1"/>
  <c r="U106" i="1"/>
  <c r="T106" i="1"/>
  <c r="V106" i="1"/>
  <c r="S107" i="1"/>
  <c r="U107" i="1"/>
  <c r="T107" i="1"/>
  <c r="V107" i="1"/>
  <c r="S108" i="1"/>
  <c r="U108" i="1"/>
  <c r="T108" i="1"/>
  <c r="V108" i="1"/>
  <c r="S109" i="1"/>
  <c r="U109" i="1"/>
  <c r="T109" i="1"/>
  <c r="V109" i="1"/>
  <c r="S110" i="1"/>
  <c r="U110" i="1"/>
  <c r="T110" i="1"/>
  <c r="V110" i="1"/>
  <c r="S111" i="1"/>
  <c r="U111" i="1"/>
  <c r="T111" i="1"/>
  <c r="V111" i="1"/>
  <c r="S112" i="1"/>
  <c r="U112" i="1"/>
  <c r="T112" i="1"/>
  <c r="V112" i="1"/>
  <c r="S113" i="1"/>
  <c r="U113" i="1"/>
  <c r="T113" i="1"/>
  <c r="V113" i="1"/>
  <c r="S114" i="1"/>
  <c r="U114" i="1"/>
  <c r="T114" i="1"/>
  <c r="V114" i="1"/>
  <c r="S77" i="1"/>
  <c r="U77" i="1"/>
  <c r="T77" i="1"/>
  <c r="V77" i="1"/>
  <c r="S115" i="1"/>
  <c r="U115" i="1"/>
  <c r="T115" i="1"/>
  <c r="V115" i="1"/>
  <c r="S116" i="1"/>
  <c r="U116" i="1"/>
  <c r="T116" i="1"/>
  <c r="V116" i="1"/>
  <c r="S117" i="1"/>
  <c r="U117" i="1"/>
  <c r="T117" i="1"/>
  <c r="V117" i="1"/>
  <c r="S118" i="1"/>
  <c r="U118" i="1"/>
  <c r="T118" i="1"/>
  <c r="V118" i="1"/>
  <c r="S119" i="1"/>
  <c r="U119" i="1"/>
  <c r="T119" i="1"/>
  <c r="V119" i="1"/>
  <c r="S120" i="1"/>
  <c r="U120" i="1"/>
  <c r="T120" i="1"/>
  <c r="V120" i="1"/>
  <c r="S121" i="1"/>
  <c r="U121" i="1"/>
  <c r="T121" i="1"/>
  <c r="V121" i="1"/>
  <c r="S123" i="1"/>
  <c r="U123" i="1"/>
  <c r="T123" i="1"/>
  <c r="V123" i="1"/>
  <c r="S122" i="1"/>
  <c r="U122" i="1"/>
  <c r="T122" i="1"/>
  <c r="V122" i="1"/>
  <c r="S124" i="1"/>
  <c r="U124" i="1"/>
  <c r="T124" i="1"/>
  <c r="V124" i="1"/>
  <c r="S125" i="1"/>
  <c r="U125" i="1"/>
  <c r="T125" i="1"/>
  <c r="V125" i="1"/>
  <c r="S126" i="1"/>
  <c r="U126" i="1"/>
  <c r="T126" i="1"/>
  <c r="V126" i="1"/>
  <c r="E75" i="1"/>
  <c r="O75" i="1"/>
  <c r="Q75" i="1"/>
  <c r="E77" i="1"/>
  <c r="O77" i="1"/>
  <c r="Q77" i="1"/>
  <c r="O25" i="1"/>
  <c r="O28" i="1"/>
  <c r="O27" i="1"/>
  <c r="Q25" i="1"/>
  <c r="Q28" i="1"/>
  <c r="Q27" i="1"/>
  <c r="D144" i="1" a="1"/>
  <c r="D144" i="1"/>
  <c r="D145" i="1" a="1"/>
  <c r="D145" i="1"/>
  <c r="F144" i="1" a="1"/>
  <c r="F144" i="1"/>
  <c r="F145" i="1" a="1"/>
  <c r="F145" i="1"/>
  <c r="G144" i="1"/>
  <c r="G145" i="1"/>
  <c r="H144" i="1" a="1"/>
  <c r="H144" i="1"/>
  <c r="H145" i="1" a="1"/>
  <c r="H145" i="1"/>
  <c r="I144" i="1" a="1"/>
  <c r="I144" i="1"/>
  <c r="I145" i="1" a="1"/>
  <c r="I145" i="1"/>
  <c r="J144" i="1" a="1"/>
  <c r="J144" i="1"/>
  <c r="J145" i="1" a="1"/>
  <c r="J145" i="1"/>
  <c r="K144" i="1" a="1"/>
  <c r="K144" i="1"/>
  <c r="K145" i="1" a="1"/>
  <c r="K145" i="1"/>
  <c r="L144" i="1" a="1"/>
  <c r="L144" i="1"/>
  <c r="L145" i="1" a="1"/>
  <c r="L145" i="1"/>
  <c r="M144" i="1" a="1"/>
  <c r="M144" i="1"/>
  <c r="M145" i="1" a="1"/>
  <c r="M145" i="1"/>
  <c r="N144" i="1" a="1"/>
  <c r="N144" i="1"/>
  <c r="N145" i="1" a="1"/>
  <c r="N145" i="1"/>
  <c r="O144" i="1" a="1"/>
  <c r="O144" i="1"/>
  <c r="O145" i="1" a="1"/>
  <c r="O145" i="1"/>
  <c r="P144" i="1" a="1"/>
  <c r="P144" i="1"/>
  <c r="P145" i="1" a="1"/>
  <c r="P145" i="1"/>
  <c r="Q144" i="1" a="1"/>
  <c r="Q144" i="1"/>
  <c r="Q145" i="1" a="1"/>
  <c r="Q145" i="1"/>
  <c r="R144" i="1" a="1"/>
  <c r="R144" i="1"/>
  <c r="R145" i="1" a="1"/>
  <c r="R145" i="1"/>
  <c r="S144" i="1" a="1"/>
  <c r="S144" i="1"/>
  <c r="S145" i="1" a="1"/>
  <c r="S145" i="1"/>
  <c r="T144" i="1" a="1"/>
  <c r="T144" i="1"/>
  <c r="T145" i="1" a="1"/>
  <c r="T145" i="1"/>
  <c r="U144" i="1" a="1"/>
  <c r="U144" i="1"/>
  <c r="U145" i="1" a="1"/>
  <c r="U145" i="1"/>
  <c r="V144" i="1" a="1"/>
  <c r="V144" i="1"/>
  <c r="V145" i="1" a="1"/>
  <c r="V145" i="1"/>
  <c r="W144" i="1" a="1"/>
  <c r="W144" i="1"/>
  <c r="W145" i="1" a="1"/>
  <c r="W145" i="1"/>
  <c r="Q50" i="1"/>
  <c r="O50" i="1"/>
  <c r="D146" i="1" a="1"/>
  <c r="D146" i="1"/>
  <c r="D147" i="1" a="1"/>
  <c r="D147" i="1"/>
  <c r="D148" i="1" a="1"/>
  <c r="D148" i="1"/>
  <c r="D149" i="1" a="1"/>
  <c r="D149" i="1"/>
  <c r="J135" i="1" a="1"/>
  <c r="J135" i="1"/>
  <c r="O62" i="1"/>
  <c r="Q62" i="1"/>
  <c r="O61" i="1"/>
  <c r="Q61" i="1"/>
  <c r="O41" i="1"/>
  <c r="Q41" i="1"/>
  <c r="O56" i="1"/>
  <c r="Q56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J153" i="1"/>
  <c r="W136" i="1" a="1"/>
  <c r="W136" i="1"/>
  <c r="W143" i="1" a="1"/>
  <c r="W143" i="1"/>
  <c r="W138" i="1" a="1"/>
  <c r="W138" i="1"/>
  <c r="W140" i="1" a="1"/>
  <c r="W140" i="1"/>
  <c r="W139" i="1" a="1"/>
  <c r="W139" i="1"/>
  <c r="W137" i="1" a="1"/>
  <c r="W137" i="1"/>
  <c r="W135" i="1" a="1"/>
  <c r="W135" i="1"/>
  <c r="W141" i="1" a="1"/>
  <c r="W141" i="1"/>
  <c r="W142" i="1" a="1"/>
  <c r="W142" i="1"/>
  <c r="W146" i="1" a="1"/>
  <c r="W146" i="1"/>
  <c r="W147" i="1" a="1"/>
  <c r="W147" i="1"/>
  <c r="W148" i="1" a="1"/>
  <c r="W148" i="1"/>
  <c r="W149" i="1" a="1"/>
  <c r="W149" i="1"/>
  <c r="V136" i="1" a="1"/>
  <c r="V136" i="1"/>
  <c r="V143" i="1" a="1"/>
  <c r="V143" i="1"/>
  <c r="V138" i="1" a="1"/>
  <c r="V138" i="1"/>
  <c r="V140" i="1" a="1"/>
  <c r="V140" i="1"/>
  <c r="V139" i="1" a="1"/>
  <c r="V139" i="1"/>
  <c r="V137" i="1" a="1"/>
  <c r="V137" i="1"/>
  <c r="V135" i="1" a="1"/>
  <c r="V135" i="1"/>
  <c r="V141" i="1" a="1"/>
  <c r="V141" i="1"/>
  <c r="V142" i="1" a="1"/>
  <c r="V142" i="1"/>
  <c r="V146" i="1" a="1"/>
  <c r="V146" i="1"/>
  <c r="V147" i="1" a="1"/>
  <c r="V147" i="1"/>
  <c r="V148" i="1" a="1"/>
  <c r="V148" i="1"/>
  <c r="V149" i="1" a="1"/>
  <c r="V149" i="1"/>
  <c r="U136" i="1" a="1"/>
  <c r="U136" i="1"/>
  <c r="U143" i="1" a="1"/>
  <c r="U143" i="1"/>
  <c r="U138" i="1" a="1"/>
  <c r="U138" i="1"/>
  <c r="U140" i="1" a="1"/>
  <c r="U140" i="1"/>
  <c r="U139" i="1" a="1"/>
  <c r="U139" i="1"/>
  <c r="U137" i="1" a="1"/>
  <c r="U137" i="1"/>
  <c r="U135" i="1" a="1"/>
  <c r="U135" i="1"/>
  <c r="U141" i="1" a="1"/>
  <c r="U141" i="1"/>
  <c r="U142" i="1" a="1"/>
  <c r="U142" i="1"/>
  <c r="U146" i="1" a="1"/>
  <c r="U146" i="1"/>
  <c r="U147" i="1" a="1"/>
  <c r="U147" i="1"/>
  <c r="U148" i="1" a="1"/>
  <c r="U148" i="1"/>
  <c r="U149" i="1" a="1"/>
  <c r="U149" i="1"/>
  <c r="T136" i="1" a="1"/>
  <c r="T136" i="1"/>
  <c r="T143" i="1" a="1"/>
  <c r="T143" i="1"/>
  <c r="T138" i="1" a="1"/>
  <c r="T138" i="1"/>
  <c r="T140" i="1" a="1"/>
  <c r="T140" i="1"/>
  <c r="T139" i="1" a="1"/>
  <c r="T139" i="1"/>
  <c r="T137" i="1" a="1"/>
  <c r="T137" i="1"/>
  <c r="T135" i="1" a="1"/>
  <c r="T135" i="1"/>
  <c r="T141" i="1" a="1"/>
  <c r="T141" i="1"/>
  <c r="T142" i="1" a="1"/>
  <c r="T142" i="1"/>
  <c r="T146" i="1" a="1"/>
  <c r="T146" i="1"/>
  <c r="T147" i="1" a="1"/>
  <c r="T147" i="1"/>
  <c r="T148" i="1" a="1"/>
  <c r="T148" i="1"/>
  <c r="T149" i="1" a="1"/>
  <c r="T149" i="1"/>
  <c r="S136" i="1" a="1"/>
  <c r="S136" i="1"/>
  <c r="S143" i="1" a="1"/>
  <c r="S143" i="1"/>
  <c r="S138" i="1" a="1"/>
  <c r="S138" i="1"/>
  <c r="S140" i="1" a="1"/>
  <c r="S140" i="1"/>
  <c r="S139" i="1" a="1"/>
  <c r="S139" i="1"/>
  <c r="S137" i="1" a="1"/>
  <c r="S137" i="1"/>
  <c r="S135" i="1" a="1"/>
  <c r="S135" i="1"/>
  <c r="S141" i="1" a="1"/>
  <c r="S141" i="1"/>
  <c r="S142" i="1" a="1"/>
  <c r="S142" i="1"/>
  <c r="S146" i="1" a="1"/>
  <c r="S146" i="1"/>
  <c r="S147" i="1" a="1"/>
  <c r="S147" i="1"/>
  <c r="S148" i="1" a="1"/>
  <c r="S148" i="1"/>
  <c r="S149" i="1" a="1"/>
  <c r="S149" i="1"/>
  <c r="R136" i="1" a="1"/>
  <c r="R136" i="1"/>
  <c r="R143" i="1" a="1"/>
  <c r="R143" i="1"/>
  <c r="R138" i="1" a="1"/>
  <c r="R138" i="1"/>
  <c r="R140" i="1" a="1"/>
  <c r="R140" i="1"/>
  <c r="R139" i="1" a="1"/>
  <c r="R139" i="1"/>
  <c r="R137" i="1" a="1"/>
  <c r="R137" i="1"/>
  <c r="R135" i="1" a="1"/>
  <c r="R135" i="1"/>
  <c r="R141" i="1" a="1"/>
  <c r="R141" i="1"/>
  <c r="R142" i="1" a="1"/>
  <c r="R142" i="1"/>
  <c r="R146" i="1" a="1"/>
  <c r="R146" i="1"/>
  <c r="R147" i="1" a="1"/>
  <c r="R147" i="1"/>
  <c r="R148" i="1" a="1"/>
  <c r="R148" i="1"/>
  <c r="R149" i="1" a="1"/>
  <c r="R149" i="1"/>
  <c r="Q136" i="1" a="1"/>
  <c r="Q136" i="1"/>
  <c r="Q143" i="1" a="1"/>
  <c r="Q143" i="1"/>
  <c r="Q138" i="1" a="1"/>
  <c r="Q138" i="1"/>
  <c r="Q140" i="1" a="1"/>
  <c r="Q140" i="1"/>
  <c r="Q139" i="1" a="1"/>
  <c r="Q139" i="1"/>
  <c r="Q137" i="1" a="1"/>
  <c r="Q137" i="1"/>
  <c r="Q135" i="1" a="1"/>
  <c r="Q135" i="1"/>
  <c r="Q141" i="1" a="1"/>
  <c r="Q141" i="1"/>
  <c r="Q142" i="1" a="1"/>
  <c r="Q142" i="1"/>
  <c r="Q146" i="1" a="1"/>
  <c r="Q146" i="1"/>
  <c r="Q147" i="1" a="1"/>
  <c r="Q147" i="1"/>
  <c r="Q148" i="1" a="1"/>
  <c r="Q148" i="1"/>
  <c r="Q149" i="1" a="1"/>
  <c r="Q149" i="1"/>
  <c r="P136" i="1" a="1"/>
  <c r="P136" i="1"/>
  <c r="P143" i="1" a="1"/>
  <c r="P143" i="1"/>
  <c r="P138" i="1" a="1"/>
  <c r="P138" i="1"/>
  <c r="P140" i="1" a="1"/>
  <c r="P140" i="1"/>
  <c r="P139" i="1" a="1"/>
  <c r="P139" i="1"/>
  <c r="P137" i="1" a="1"/>
  <c r="P137" i="1"/>
  <c r="P135" i="1" a="1"/>
  <c r="P135" i="1"/>
  <c r="P141" i="1" a="1"/>
  <c r="P141" i="1"/>
  <c r="P142" i="1" a="1"/>
  <c r="P142" i="1"/>
  <c r="P146" i="1" a="1"/>
  <c r="P146" i="1"/>
  <c r="P147" i="1" a="1"/>
  <c r="P147" i="1"/>
  <c r="P148" i="1" a="1"/>
  <c r="P148" i="1"/>
  <c r="P149" i="1" a="1"/>
  <c r="P149" i="1"/>
  <c r="O136" i="1" a="1"/>
  <c r="O136" i="1"/>
  <c r="O143" i="1" a="1"/>
  <c r="O143" i="1"/>
  <c r="O138" i="1" a="1"/>
  <c r="O138" i="1"/>
  <c r="O140" i="1" a="1"/>
  <c r="O140" i="1"/>
  <c r="O139" i="1" a="1"/>
  <c r="O139" i="1"/>
  <c r="O137" i="1" a="1"/>
  <c r="O137" i="1"/>
  <c r="O135" i="1" a="1"/>
  <c r="O135" i="1"/>
  <c r="O141" i="1" a="1"/>
  <c r="O141" i="1"/>
  <c r="O142" i="1" a="1"/>
  <c r="O142" i="1"/>
  <c r="O146" i="1" a="1"/>
  <c r="O146" i="1"/>
  <c r="O147" i="1" a="1"/>
  <c r="O147" i="1"/>
  <c r="O148" i="1" a="1"/>
  <c r="O148" i="1"/>
  <c r="O149" i="1" a="1"/>
  <c r="O149" i="1"/>
  <c r="N136" i="1" a="1"/>
  <c r="N136" i="1"/>
  <c r="N143" i="1" a="1"/>
  <c r="N143" i="1"/>
  <c r="N138" i="1" a="1"/>
  <c r="N138" i="1"/>
  <c r="N140" i="1" a="1"/>
  <c r="N140" i="1"/>
  <c r="N139" i="1" a="1"/>
  <c r="N139" i="1"/>
  <c r="N137" i="1" a="1"/>
  <c r="N137" i="1"/>
  <c r="N135" i="1" a="1"/>
  <c r="N135" i="1"/>
  <c r="N141" i="1" a="1"/>
  <c r="N141" i="1"/>
  <c r="N142" i="1" a="1"/>
  <c r="N142" i="1"/>
  <c r="N146" i="1" a="1"/>
  <c r="N146" i="1"/>
  <c r="N147" i="1" a="1"/>
  <c r="N147" i="1"/>
  <c r="N148" i="1" a="1"/>
  <c r="N148" i="1"/>
  <c r="N149" i="1" a="1"/>
  <c r="N149" i="1"/>
  <c r="M136" i="1" a="1"/>
  <c r="M136" i="1"/>
  <c r="M143" i="1" a="1"/>
  <c r="M143" i="1"/>
  <c r="M138" i="1" a="1"/>
  <c r="M138" i="1"/>
  <c r="M140" i="1" a="1"/>
  <c r="M140" i="1"/>
  <c r="M139" i="1" a="1"/>
  <c r="M139" i="1"/>
  <c r="M137" i="1" a="1"/>
  <c r="M137" i="1"/>
  <c r="M135" i="1" a="1"/>
  <c r="M135" i="1"/>
  <c r="M141" i="1" a="1"/>
  <c r="M141" i="1"/>
  <c r="M142" i="1" a="1"/>
  <c r="M142" i="1"/>
  <c r="M146" i="1" a="1"/>
  <c r="M146" i="1"/>
  <c r="M147" i="1" a="1"/>
  <c r="M147" i="1"/>
  <c r="M148" i="1" a="1"/>
  <c r="M148" i="1"/>
  <c r="M149" i="1" a="1"/>
  <c r="M149" i="1"/>
  <c r="L136" i="1" a="1"/>
  <c r="L136" i="1"/>
  <c r="L143" i="1" a="1"/>
  <c r="L143" i="1"/>
  <c r="L138" i="1" a="1"/>
  <c r="L138" i="1"/>
  <c r="L140" i="1" a="1"/>
  <c r="L140" i="1"/>
  <c r="L139" i="1" a="1"/>
  <c r="L139" i="1"/>
  <c r="L137" i="1" a="1"/>
  <c r="L137" i="1"/>
  <c r="L135" i="1" a="1"/>
  <c r="L135" i="1"/>
  <c r="L141" i="1" a="1"/>
  <c r="L141" i="1"/>
  <c r="L142" i="1" a="1"/>
  <c r="L142" i="1"/>
  <c r="L146" i="1" a="1"/>
  <c r="L146" i="1"/>
  <c r="L147" i="1" a="1"/>
  <c r="L147" i="1"/>
  <c r="L148" i="1" a="1"/>
  <c r="L148" i="1"/>
  <c r="L149" i="1" a="1"/>
  <c r="L149" i="1"/>
  <c r="K136" i="1" a="1"/>
  <c r="K136" i="1"/>
  <c r="K143" i="1" a="1"/>
  <c r="K143" i="1"/>
  <c r="K138" i="1" a="1"/>
  <c r="K138" i="1"/>
  <c r="K140" i="1" a="1"/>
  <c r="K140" i="1"/>
  <c r="K139" i="1" a="1"/>
  <c r="K139" i="1"/>
  <c r="K137" i="1" a="1"/>
  <c r="K137" i="1"/>
  <c r="K135" i="1" a="1"/>
  <c r="K135" i="1"/>
  <c r="K141" i="1" a="1"/>
  <c r="K141" i="1"/>
  <c r="K142" i="1" a="1"/>
  <c r="K142" i="1"/>
  <c r="K146" i="1" a="1"/>
  <c r="K146" i="1"/>
  <c r="K147" i="1" a="1"/>
  <c r="K147" i="1"/>
  <c r="K148" i="1" a="1"/>
  <c r="K148" i="1"/>
  <c r="K149" i="1" a="1"/>
  <c r="K149" i="1"/>
  <c r="J136" i="1" a="1"/>
  <c r="J136" i="1"/>
  <c r="J143" i="1" a="1"/>
  <c r="J143" i="1"/>
  <c r="J138" i="1" a="1"/>
  <c r="J138" i="1"/>
  <c r="J140" i="1" a="1"/>
  <c r="J140" i="1"/>
  <c r="J139" i="1" a="1"/>
  <c r="J139" i="1"/>
  <c r="J137" i="1" a="1"/>
  <c r="J137" i="1"/>
  <c r="J141" i="1" a="1"/>
  <c r="J141" i="1"/>
  <c r="J142" i="1" a="1"/>
  <c r="J142" i="1"/>
  <c r="J146" i="1" a="1"/>
  <c r="J146" i="1"/>
  <c r="J147" i="1" a="1"/>
  <c r="J147" i="1"/>
  <c r="J148" i="1" a="1"/>
  <c r="J148" i="1"/>
  <c r="J149" i="1" a="1"/>
  <c r="J149" i="1"/>
  <c r="I146" i="1" a="1"/>
  <c r="I146" i="1"/>
  <c r="I147" i="1" a="1"/>
  <c r="I147" i="1"/>
  <c r="I148" i="1" a="1"/>
  <c r="I148" i="1"/>
  <c r="I149" i="1" a="1"/>
  <c r="I149" i="1"/>
  <c r="H136" i="1" a="1"/>
  <c r="H136" i="1"/>
  <c r="H143" i="1" a="1"/>
  <c r="H143" i="1"/>
  <c r="H138" i="1" a="1"/>
  <c r="H138" i="1"/>
  <c r="H140" i="1" a="1"/>
  <c r="H140" i="1"/>
  <c r="H139" i="1" a="1"/>
  <c r="H139" i="1"/>
  <c r="H137" i="1" a="1"/>
  <c r="H137" i="1"/>
  <c r="H135" i="1" a="1"/>
  <c r="H135" i="1"/>
  <c r="H141" i="1" a="1"/>
  <c r="H141" i="1"/>
  <c r="H142" i="1" a="1"/>
  <c r="H142" i="1"/>
  <c r="H146" i="1" a="1"/>
  <c r="H146" i="1"/>
  <c r="H147" i="1" a="1"/>
  <c r="H147" i="1"/>
  <c r="H148" i="1" a="1"/>
  <c r="H148" i="1"/>
  <c r="H149" i="1" a="1"/>
  <c r="H149" i="1"/>
  <c r="F146" i="1" a="1"/>
  <c r="F146" i="1"/>
  <c r="G146" i="1"/>
  <c r="F147" i="1" a="1"/>
  <c r="F147" i="1"/>
  <c r="F148" i="1" a="1"/>
  <c r="F148" i="1"/>
  <c r="F149" i="1" a="1"/>
  <c r="F149" i="1"/>
  <c r="G147" i="1"/>
  <c r="G148" i="1"/>
  <c r="G149" i="1"/>
  <c r="O37" i="1"/>
  <c r="O40" i="1"/>
  <c r="I137" i="1" a="1"/>
  <c r="I137" i="1"/>
  <c r="O29" i="1"/>
  <c r="O31" i="1"/>
  <c r="O33" i="1"/>
  <c r="O36" i="1"/>
  <c r="O32" i="1"/>
  <c r="O39" i="1"/>
  <c r="O42" i="1"/>
  <c r="O43" i="1"/>
  <c r="O46" i="1"/>
  <c r="O49" i="1"/>
  <c r="O66" i="1"/>
  <c r="O48" i="1"/>
  <c r="O52" i="1"/>
  <c r="O64" i="1"/>
  <c r="O69" i="1"/>
  <c r="O45" i="1"/>
  <c r="O59" i="1"/>
  <c r="O68" i="1"/>
  <c r="O53" i="1"/>
  <c r="O47" i="1"/>
  <c r="O51" i="1"/>
  <c r="O55" i="1"/>
  <c r="O78" i="1"/>
  <c r="O83" i="1"/>
  <c r="O44" i="1"/>
  <c r="O60" i="1"/>
  <c r="O58" i="1"/>
  <c r="O91" i="1"/>
  <c r="O94" i="1"/>
  <c r="O92" i="1"/>
  <c r="O76" i="1"/>
  <c r="O65" i="1"/>
  <c r="O81" i="1"/>
  <c r="O74" i="1"/>
  <c r="O79" i="1"/>
  <c r="O63" i="1"/>
  <c r="O70" i="1"/>
  <c r="O72" i="1"/>
  <c r="O88" i="1"/>
  <c r="O89" i="1"/>
  <c r="I143" i="1" a="1"/>
  <c r="I143" i="1"/>
  <c r="O86" i="1"/>
  <c r="O90" i="1"/>
  <c r="O80" i="1"/>
  <c r="O82" i="1"/>
  <c r="O109" i="1"/>
  <c r="O99" i="1"/>
  <c r="O98" i="1"/>
  <c r="O104" i="1"/>
  <c r="O106" i="1"/>
  <c r="O87" i="1"/>
  <c r="O107" i="1"/>
  <c r="O100" i="1"/>
  <c r="O101" i="1"/>
  <c r="O97" i="1"/>
  <c r="O105" i="1"/>
  <c r="O108" i="1"/>
  <c r="O124" i="1"/>
  <c r="I142" i="1" a="1"/>
  <c r="I142" i="1"/>
  <c r="O115" i="1"/>
  <c r="O102" i="1"/>
  <c r="O117" i="1"/>
  <c r="O122" i="1"/>
  <c r="O125" i="1"/>
  <c r="O112" i="1"/>
  <c r="O119" i="1"/>
  <c r="O113" i="1"/>
  <c r="Q37" i="1"/>
  <c r="Q38" i="1"/>
  <c r="Q57" i="1"/>
  <c r="Q96" i="1"/>
  <c r="Q112" i="1"/>
  <c r="O120" i="1"/>
  <c r="O126" i="1"/>
  <c r="Q54" i="1"/>
  <c r="Q111" i="1"/>
  <c r="Q100" i="1"/>
  <c r="Q101" i="1"/>
  <c r="Q60" i="1"/>
  <c r="Q108" i="1"/>
  <c r="Q105" i="1"/>
  <c r="Q35" i="1"/>
  <c r="Q84" i="1"/>
  <c r="Q68" i="1"/>
  <c r="Q44" i="1"/>
  <c r="Q71" i="1"/>
  <c r="O116" i="1"/>
  <c r="Q119" i="1"/>
  <c r="Q114" i="1"/>
  <c r="F127" i="1"/>
  <c r="I127" i="1"/>
  <c r="F128" i="1"/>
  <c r="I128" i="1"/>
  <c r="O123" i="1"/>
  <c r="Q109" i="1"/>
  <c r="Q94" i="1"/>
  <c r="Q83" i="1"/>
  <c r="Q92" i="1"/>
  <c r="Q97" i="1"/>
  <c r="Q85" i="1"/>
  <c r="Q95" i="1"/>
  <c r="Q124" i="1"/>
  <c r="Q121" i="1"/>
  <c r="Q122" i="1"/>
  <c r="Q125" i="1"/>
  <c r="Q113" i="1"/>
  <c r="Q118" i="1"/>
  <c r="Q107" i="1"/>
  <c r="Q110" i="1"/>
  <c r="Q74" i="1"/>
  <c r="Q64" i="1"/>
  <c r="Q89" i="1"/>
  <c r="Q123" i="1"/>
  <c r="Q115" i="1"/>
  <c r="Q78" i="1"/>
  <c r="Q117" i="1"/>
  <c r="Q91" i="1"/>
  <c r="Q45" i="1"/>
  <c r="Q106" i="1"/>
  <c r="Q98" i="1"/>
  <c r="Q69" i="1"/>
  <c r="Q93" i="1"/>
  <c r="Q103" i="1"/>
  <c r="Q99" i="1"/>
  <c r="Q86" i="1"/>
  <c r="Q66" i="1"/>
  <c r="Q90" i="1"/>
  <c r="Q104" i="1"/>
  <c r="Q79" i="1"/>
  <c r="Q55" i="1"/>
  <c r="Q73" i="1"/>
  <c r="Q81" i="1"/>
  <c r="Q87" i="1"/>
  <c r="Q59" i="1"/>
  <c r="Q76" i="1"/>
  <c r="Q43" i="1"/>
  <c r="Q82" i="1"/>
  <c r="Q67" i="1"/>
  <c r="Q48" i="1"/>
  <c r="Q47" i="1"/>
  <c r="Q42" i="1"/>
  <c r="Q40" i="1"/>
  <c r="Q46" i="1"/>
  <c r="Q65" i="1"/>
  <c r="Q72" i="1"/>
  <c r="Q39" i="1"/>
  <c r="Q53" i="1"/>
  <c r="Q58" i="1"/>
  <c r="Q34" i="1"/>
  <c r="Q52" i="1"/>
  <c r="Q32" i="1"/>
  <c r="Q31" i="1"/>
  <c r="Q51" i="1"/>
  <c r="Q30" i="1"/>
  <c r="Q33" i="1"/>
  <c r="Q26" i="1"/>
  <c r="Q36" i="1"/>
  <c r="Q29" i="1"/>
  <c r="O121" i="1"/>
  <c r="O110" i="1"/>
  <c r="O118" i="1"/>
  <c r="O26" i="1"/>
  <c r="O30" i="1"/>
  <c r="O93" i="1"/>
  <c r="O103" i="1"/>
  <c r="O67" i="1"/>
  <c r="H150" i="1"/>
  <c r="H151" i="1"/>
  <c r="F142" i="1" a="1"/>
  <c r="F142" i="1"/>
  <c r="G142" i="1"/>
  <c r="I136" i="1" a="1"/>
  <c r="I136" i="1"/>
  <c r="F139" i="1" a="1"/>
  <c r="F139" i="1"/>
  <c r="G139" i="1"/>
  <c r="J150" i="1"/>
  <c r="J151" i="1"/>
  <c r="L150" i="1"/>
  <c r="L151" i="1"/>
  <c r="N150" i="1"/>
  <c r="N151" i="1"/>
  <c r="P150" i="1"/>
  <c r="P151" i="1"/>
  <c r="R150" i="1"/>
  <c r="R151" i="1"/>
  <c r="T150" i="1"/>
  <c r="T151" i="1"/>
  <c r="V150" i="1"/>
  <c r="V151" i="1"/>
  <c r="M150" i="1"/>
  <c r="M151" i="1"/>
  <c r="Q150" i="1"/>
  <c r="Q151" i="1"/>
  <c r="U150" i="1"/>
  <c r="U151" i="1"/>
  <c r="K150" i="1"/>
  <c r="K151" i="1"/>
  <c r="O150" i="1"/>
  <c r="O151" i="1"/>
  <c r="S150" i="1"/>
  <c r="S151" i="1"/>
  <c r="W150" i="1"/>
  <c r="W151" i="1"/>
  <c r="F141" i="1" a="1"/>
  <c r="F141" i="1"/>
  <c r="G141" i="1"/>
  <c r="F135" i="1" a="1"/>
  <c r="F135" i="1"/>
  <c r="F137" i="1" a="1"/>
  <c r="F137" i="1"/>
  <c r="G137" i="1"/>
  <c r="F140" i="1" a="1"/>
  <c r="F140" i="1"/>
  <c r="G140" i="1"/>
  <c r="F138" i="1" a="1"/>
  <c r="F138" i="1"/>
  <c r="G138" i="1"/>
  <c r="F136" i="1" a="1"/>
  <c r="F136" i="1"/>
  <c r="O54" i="1"/>
  <c r="O57" i="1"/>
  <c r="O84" i="1"/>
  <c r="O111" i="1"/>
  <c r="O38" i="1"/>
  <c r="O35" i="1"/>
  <c r="I138" i="1" a="1"/>
  <c r="I138" i="1"/>
  <c r="O96" i="1"/>
  <c r="O85" i="1"/>
  <c r="O73" i="1"/>
  <c r="O71" i="1"/>
  <c r="O34" i="1"/>
  <c r="O114" i="1"/>
  <c r="O95" i="1"/>
  <c r="K127" i="1"/>
  <c r="J127" i="1"/>
  <c r="Q120" i="1"/>
  <c r="K128" i="1"/>
  <c r="Q126" i="1"/>
  <c r="Q116" i="1"/>
  <c r="J128" i="1"/>
  <c r="Q102" i="1"/>
  <c r="Q80" i="1"/>
  <c r="Q49" i="1"/>
  <c r="Q63" i="1"/>
  <c r="Q70" i="1"/>
  <c r="J152" i="1"/>
  <c r="V152" i="1"/>
  <c r="I135" i="1" a="1"/>
  <c r="I135" i="1"/>
  <c r="I139" i="1" a="1"/>
  <c r="I139" i="1"/>
  <c r="G135" i="1"/>
  <c r="I140" i="1" a="1"/>
  <c r="I140" i="1"/>
  <c r="I141" i="1" a="1"/>
  <c r="I141" i="1"/>
  <c r="G136" i="1"/>
  <c r="Q88" i="1"/>
  <c r="F143" i="1" a="1"/>
  <c r="F143" i="1"/>
  <c r="G143" i="1"/>
  <c r="P127" i="1"/>
  <c r="O128" i="1"/>
  <c r="O127" i="1"/>
  <c r="Q127" i="1"/>
  <c r="P128" i="1"/>
  <c r="R128" i="1"/>
  <c r="R127" i="1"/>
  <c r="Q128" i="1"/>
  <c r="G150" i="1"/>
  <c r="G151" i="1"/>
  <c r="I150" i="1"/>
  <c r="I151" i="1"/>
  <c r="F150" i="1"/>
  <c r="O152" i="1"/>
  <c r="K152" i="1"/>
  <c r="W152" i="1"/>
  <c r="T152" i="1"/>
  <c r="N152" i="1"/>
  <c r="L152" i="1"/>
  <c r="S152" i="1"/>
  <c r="U152" i="1"/>
  <c r="P152" i="1"/>
  <c r="Q152" i="1"/>
  <c r="M152" i="1"/>
  <c r="R152" i="1"/>
  <c r="F151" i="1"/>
  <c r="T127" i="1"/>
  <c r="T128" i="1"/>
  <c r="U128" i="1"/>
  <c r="U127" i="1"/>
  <c r="S128" i="1"/>
  <c r="S127" i="1"/>
  <c r="E50" i="1"/>
  <c r="E62" i="1"/>
  <c r="E61" i="1"/>
  <c r="E41" i="1"/>
  <c r="E56" i="1"/>
  <c r="E37" i="1"/>
  <c r="E38" i="1"/>
  <c r="E57" i="1"/>
  <c r="E96" i="1"/>
  <c r="E112" i="1"/>
  <c r="E120" i="1"/>
  <c r="E126" i="1"/>
  <c r="E54" i="1"/>
  <c r="E30" i="1"/>
  <c r="E111" i="1"/>
  <c r="E100" i="1"/>
  <c r="E101" i="1"/>
  <c r="E60" i="1"/>
  <c r="E105" i="1"/>
  <c r="E108" i="1"/>
  <c r="E35" i="1"/>
  <c r="E84" i="1"/>
  <c r="E68" i="1"/>
  <c r="E44" i="1"/>
  <c r="E71" i="1"/>
  <c r="E116" i="1"/>
  <c r="E119" i="1"/>
  <c r="E86" i="1"/>
  <c r="E69" i="1"/>
  <c r="E123" i="1"/>
  <c r="E107" i="1"/>
  <c r="E92" i="1"/>
  <c r="E53" i="1"/>
  <c r="E31" i="1"/>
  <c r="E73" i="1"/>
  <c r="E47" i="1"/>
  <c r="E94" i="1"/>
  <c r="E97" i="1"/>
  <c r="E78" i="1"/>
  <c r="E66" i="1"/>
  <c r="E72" i="1"/>
  <c r="E32" i="1"/>
  <c r="E46" i="1"/>
  <c r="E70" i="1"/>
  <c r="E48" i="1"/>
  <c r="E59" i="1"/>
  <c r="E88" i="1"/>
  <c r="E91" i="1"/>
  <c r="E67" i="1"/>
  <c r="E110" i="1"/>
  <c r="E29" i="1"/>
  <c r="E43" i="1"/>
  <c r="E103" i="1"/>
  <c r="E49" i="1"/>
  <c r="E114" i="1"/>
  <c r="E83" i="1"/>
  <c r="E124" i="1"/>
  <c r="E98" i="1"/>
  <c r="E82" i="1"/>
  <c r="E65" i="1"/>
  <c r="E40" i="1"/>
  <c r="E55" i="1"/>
  <c r="E99" i="1"/>
  <c r="E113" i="1"/>
  <c r="E121" i="1"/>
  <c r="E74" i="1"/>
  <c r="E118" i="1"/>
  <c r="E36" i="1"/>
  <c r="E42" i="1"/>
  <c r="E79" i="1"/>
  <c r="E52" i="1"/>
  <c r="E109" i="1"/>
  <c r="E85" i="1"/>
  <c r="E106" i="1"/>
  <c r="E34" i="1"/>
  <c r="E63" i="1"/>
  <c r="E89" i="1"/>
  <c r="E104" i="1"/>
  <c r="E117" i="1"/>
  <c r="E76" i="1"/>
  <c r="E58" i="1"/>
  <c r="E115" i="1"/>
  <c r="E81" i="1"/>
  <c r="E64" i="1"/>
  <c r="E122" i="1"/>
  <c r="E33" i="1"/>
  <c r="E93" i="1"/>
  <c r="E87" i="1"/>
  <c r="E39" i="1"/>
  <c r="E45" i="1"/>
  <c r="E90" i="1"/>
  <c r="E102" i="1"/>
  <c r="E51" i="1"/>
  <c r="E125" i="1"/>
  <c r="E26" i="1"/>
  <c r="E80" i="1"/>
  <c r="E95" i="1"/>
  <c r="E25" i="1"/>
  <c r="E28" i="1"/>
  <c r="E27" i="1"/>
  <c r="D135" i="1" a="1"/>
  <c r="D135" i="1"/>
  <c r="D136" i="1" a="1"/>
  <c r="D136" i="1"/>
  <c r="D138" i="1" a="1"/>
  <c r="D138" i="1"/>
  <c r="D142" i="1" a="1"/>
  <c r="D142" i="1"/>
  <c r="D137" i="1" a="1"/>
  <c r="D137" i="1"/>
  <c r="D143" i="1" a="1"/>
  <c r="D143" i="1"/>
  <c r="D141" i="1" a="1"/>
  <c r="D141" i="1"/>
  <c r="D140" i="1" a="1"/>
  <c r="D140" i="1"/>
  <c r="D139" i="1" a="1"/>
  <c r="D139" i="1"/>
  <c r="E127" i="1"/>
  <c r="E128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<sst xmlns="http://schemas.openxmlformats.org/spreadsheetml/2006/main" count="644" uniqueCount="249">
  <si>
    <t>Welcome to SnackPacker!</t>
  </si>
  <si>
    <t>This spreadsheet contains a database of hiker foods and a packing list. Each row of the database catalogues an item's key information, with specific metrics calculated into a "Calorie score" that reflects how suitable it is for caloric intake. Use each row of the packing list to specify an item's brand and quantity to recieve a summary of the total (and daily) cost, weight, and nutritional intake.</t>
  </si>
  <si>
    <t>Recommended work flow</t>
  </si>
  <si>
    <t>1) Review database. Add any missing items.</t>
  </si>
  <si>
    <t>2) Select of handful items with higher scores. Add to packing list in bulk quatities to provide the majority of your calories.</t>
  </si>
  <si>
    <t>3) Review the nutrtion summary and add aditional items to balance the diet. Calorie score is less of a priority in this step.</t>
  </si>
  <si>
    <t>4) Adjust as necessary until a satisfactory weight, cost, calorie count, and nutrtient balance is reached.</t>
  </si>
  <si>
    <t>If adding new rows to a table, insert a whole spreadsheet row. If adding a column to a table, insert just a table column.</t>
  </si>
  <si>
    <t>Database</t>
  </si>
  <si>
    <t>If desired, use the tables to the right to adjust the scoring process. The scores are always scaled to a 0-10 range. When adding a new item to the database below, be sure to fill out all of the required columns. Nutritional information is only required if using the packing list. Use the score as a general guideline, not as a strict ranking of the best choices.</t>
  </si>
  <si>
    <t>Factor</t>
  </si>
  <si>
    <t>Value</t>
  </si>
  <si>
    <t>Flex</t>
  </si>
  <si>
    <t>Score</t>
  </si>
  <si>
    <t>Air</t>
  </si>
  <si>
    <t>Weight</t>
  </si>
  <si>
    <t>Powder</t>
  </si>
  <si>
    <t>Trivial</t>
  </si>
  <si>
    <t>Packability</t>
  </si>
  <si>
    <t>Formless</t>
  </si>
  <si>
    <t>&lt;25%</t>
  </si>
  <si>
    <t>Cost</t>
  </si>
  <si>
    <t>Fine-Grain</t>
  </si>
  <si>
    <t>Roomy</t>
  </si>
  <si>
    <t>Pouch</t>
  </si>
  <si>
    <t>Foldable</t>
  </si>
  <si>
    <t>Coarse-Grain</t>
  </si>
  <si>
    <t>Pliable</t>
  </si>
  <si>
    <t>Rigid</t>
  </si>
  <si>
    <t xml:space="preserve"> ----------- Mandatory columns when adding a new item -----------</t>
  </si>
  <si>
    <t>----------- Fill out these columns for Packing List nutrition calculations -----------</t>
  </si>
  <si>
    <t>Brand</t>
  </si>
  <si>
    <t>Item</t>
  </si>
  <si>
    <t>Type</t>
  </si>
  <si>
    <t>$</t>
  </si>
  <si>
    <t>C/S</t>
  </si>
  <si>
    <t>g/S</t>
  </si>
  <si>
    <t>g</t>
  </si>
  <si>
    <t>C/Lb</t>
  </si>
  <si>
    <t>C/$</t>
  </si>
  <si>
    <t>Pack</t>
  </si>
  <si>
    <t>S</t>
  </si>
  <si>
    <t>Lb</t>
  </si>
  <si>
    <t>oz</t>
  </si>
  <si>
    <t>C</t>
  </si>
  <si>
    <t>C/Lb N</t>
  </si>
  <si>
    <t>Pack N</t>
  </si>
  <si>
    <t>C/$ N</t>
  </si>
  <si>
    <t>Raw Score</t>
  </si>
  <si>
    <t>Fat</t>
  </si>
  <si>
    <t>S Fat</t>
  </si>
  <si>
    <t>Chol</t>
  </si>
  <si>
    <t>Na</t>
  </si>
  <si>
    <t>Carb</t>
  </si>
  <si>
    <t>Fib</t>
  </si>
  <si>
    <t>A. Sug</t>
  </si>
  <si>
    <t>Pro</t>
  </si>
  <si>
    <t>Vit A</t>
  </si>
  <si>
    <t>Vit C</t>
  </si>
  <si>
    <t>Vit D</t>
  </si>
  <si>
    <t>Ca</t>
  </si>
  <si>
    <t>Fe</t>
  </si>
  <si>
    <t>K</t>
  </si>
  <si>
    <t>Types</t>
  </si>
  <si>
    <t>Peter Pan</t>
  </si>
  <si>
    <t>Peanut Butter, 28oz</t>
  </si>
  <si>
    <t>Bar</t>
  </si>
  <si>
    <t>Peanut Butter, 16oz</t>
  </si>
  <si>
    <t>(Generic)</t>
  </si>
  <si>
    <t>Condiment</t>
  </si>
  <si>
    <t>Jif</t>
  </si>
  <si>
    <t>Cracker</t>
  </si>
  <si>
    <t>Extra Virgin Olive Oil</t>
  </si>
  <si>
    <t>Drink Mix</t>
  </si>
  <si>
    <t>Planters</t>
  </si>
  <si>
    <t>Peanuts</t>
  </si>
  <si>
    <t>Nuts/Seeds</t>
  </si>
  <si>
    <t>Freeze-Dried</t>
  </si>
  <si>
    <t>Amazon</t>
  </si>
  <si>
    <t>Fruit</t>
  </si>
  <si>
    <t>Gel</t>
  </si>
  <si>
    <t>Little Debbie</t>
  </si>
  <si>
    <t>Nutty Buddy</t>
  </si>
  <si>
    <t>Grain/Carb</t>
  </si>
  <si>
    <t>OvaEasy</t>
  </si>
  <si>
    <t>Powdered Eggs</t>
  </si>
  <si>
    <t>Protein</t>
  </si>
  <si>
    <t>Kerrygold</t>
  </si>
  <si>
    <t>Butter</t>
  </si>
  <si>
    <t>Pasta/Rice</t>
  </si>
  <si>
    <t>Eggylicious</t>
  </si>
  <si>
    <t>Sunflower Seeds</t>
  </si>
  <si>
    <t>Veggetable</t>
  </si>
  <si>
    <t>Lance</t>
  </si>
  <si>
    <t>Toast Chee, Peanut Butter</t>
  </si>
  <si>
    <t>Nido</t>
  </si>
  <si>
    <t>Dry Milk, Whole</t>
  </si>
  <si>
    <t>Snack</t>
  </si>
  <si>
    <t>PB Fit</t>
  </si>
  <si>
    <t>Peanut Butter, Powdered</t>
  </si>
  <si>
    <t>Waffle</t>
  </si>
  <si>
    <t>Toast Chee, Cheddar</t>
  </si>
  <si>
    <t>Nekot Fudge</t>
  </si>
  <si>
    <t>Cheez-It</t>
  </si>
  <si>
    <t>Cheez-It, Originial</t>
  </si>
  <si>
    <t>Quick Oats</t>
  </si>
  <si>
    <t>Stroopwafel</t>
  </si>
  <si>
    <t>Classic Caramel</t>
  </si>
  <si>
    <t>Kellog's</t>
  </si>
  <si>
    <t>Club Crackers</t>
  </si>
  <si>
    <t>Keebler</t>
  </si>
  <si>
    <t>Cheese and Peanut Butter</t>
  </si>
  <si>
    <t>Nature Valley</t>
  </si>
  <si>
    <t>Wafer, Chocolate</t>
  </si>
  <si>
    <t>Pepperage Farms</t>
  </si>
  <si>
    <t>Golfish, crushed</t>
  </si>
  <si>
    <t>Cashews</t>
  </si>
  <si>
    <t>Power Crunch</t>
  </si>
  <si>
    <t>Bridgford</t>
  </si>
  <si>
    <t>Pepperoni Sticks</t>
  </si>
  <si>
    <t>Blue Diamond</t>
  </si>
  <si>
    <t>Almonds, Honey Roasted</t>
  </si>
  <si>
    <t>Peanut Butter, Whole Grain</t>
  </si>
  <si>
    <t>Body Fortress</t>
  </si>
  <si>
    <t>Whey Protein</t>
  </si>
  <si>
    <t>David</t>
  </si>
  <si>
    <t>Pumpkin Seeds</t>
  </si>
  <si>
    <t>Dietz &amp; Watson</t>
  </si>
  <si>
    <t xml:space="preserve">Hard Salame </t>
  </si>
  <si>
    <t>Pepperoni Slices</t>
  </si>
  <si>
    <t>Peak Refuel</t>
  </si>
  <si>
    <t>Hershey's</t>
  </si>
  <si>
    <t>Dark Chocolate Snack Size Bar</t>
  </si>
  <si>
    <t>Milk Chocolate Snack Size Bar</t>
  </si>
  <si>
    <t>pop tarts</t>
  </si>
  <si>
    <t>Brown Sugar Cinnamon popTart</t>
  </si>
  <si>
    <t>Raisins</t>
  </si>
  <si>
    <t>Honey Stinger</t>
  </si>
  <si>
    <t>Honey Waffle</t>
  </si>
  <si>
    <t>Swiss Miss</t>
  </si>
  <si>
    <t>Hot Chocolate</t>
  </si>
  <si>
    <t xml:space="preserve">Larabar </t>
  </si>
  <si>
    <t>Peanut Butter Chocolate Chip Bar</t>
  </si>
  <si>
    <t>Quaker</t>
  </si>
  <si>
    <t>Instant Oatmeal</t>
  </si>
  <si>
    <t>Carnation</t>
  </si>
  <si>
    <t>Breakfast Essentials</t>
  </si>
  <si>
    <t>Great Value</t>
  </si>
  <si>
    <t>Trail Mix</t>
  </si>
  <si>
    <t>Alpine</t>
  </si>
  <si>
    <t>Spiced Apple Cider</t>
  </si>
  <si>
    <t>M&amp;M's</t>
  </si>
  <si>
    <t>Peanut M&amp;M's</t>
  </si>
  <si>
    <t>Probar</t>
  </si>
  <si>
    <t>Chi-Chi's</t>
  </si>
  <si>
    <t>Tortillas, Fajita, Whole Grain</t>
  </si>
  <si>
    <t>Slim Jim</t>
  </si>
  <si>
    <t>Snack Stick, Mild</t>
  </si>
  <si>
    <t>RiceSelect</t>
  </si>
  <si>
    <t>Couscous</t>
  </si>
  <si>
    <t>Kind</t>
  </si>
  <si>
    <t>Breakfast Bar</t>
  </si>
  <si>
    <t>Snickers</t>
  </si>
  <si>
    <t xml:space="preserve">Snickers </t>
  </si>
  <si>
    <t>Jack Links</t>
  </si>
  <si>
    <t>Beef Jerkey Stick</t>
  </si>
  <si>
    <t xml:space="preserve">Regular M&amp;M's </t>
  </si>
  <si>
    <t>Instant Grits</t>
  </si>
  <si>
    <t>Tortillas, Fajita</t>
  </si>
  <si>
    <t>Duchess</t>
  </si>
  <si>
    <t>Honey Bun</t>
  </si>
  <si>
    <t>Goldfish</t>
  </si>
  <si>
    <t>La Banderita</t>
  </si>
  <si>
    <t>Tortillas, Taco</t>
  </si>
  <si>
    <t>Olé</t>
  </si>
  <si>
    <t>Builders</t>
  </si>
  <si>
    <t>Protein + Caffeine Bar</t>
  </si>
  <si>
    <t>Quick Grits</t>
  </si>
  <si>
    <t>Near East</t>
  </si>
  <si>
    <t>Couscous, Parmesan Flavor</t>
  </si>
  <si>
    <t>Sharp Cheddar</t>
  </si>
  <si>
    <t>Ocean Spray</t>
  </si>
  <si>
    <t>Dried Cranberries, Original</t>
  </si>
  <si>
    <t>Mission</t>
  </si>
  <si>
    <t>Kraft</t>
  </si>
  <si>
    <t>Easy Mac</t>
  </si>
  <si>
    <t>Couscous, Pearl</t>
  </si>
  <si>
    <t>Hostess</t>
  </si>
  <si>
    <t>Danish with Cream Cheese</t>
  </si>
  <si>
    <t>Sliced Genoa Salami</t>
  </si>
  <si>
    <t>Backpacker's Pantry</t>
  </si>
  <si>
    <t>Good To-Go</t>
  </si>
  <si>
    <t>Knorr</t>
  </si>
  <si>
    <t>Rice &amp; Pasta Blend, Chicken</t>
  </si>
  <si>
    <t>Idahoan</t>
  </si>
  <si>
    <t>Instant Mashed Potatoes</t>
  </si>
  <si>
    <t>Luna</t>
  </si>
  <si>
    <t>Blueberry Bliss Bar</t>
  </si>
  <si>
    <t>Mountain House</t>
  </si>
  <si>
    <t>Clif Bar</t>
  </si>
  <si>
    <t>Crunchy Peanut Butter</t>
  </si>
  <si>
    <t>Tortillas, Taco, Whole Grain</t>
  </si>
  <si>
    <t>Alpine Aire</t>
  </si>
  <si>
    <t>Dried Cranberries, Less Sug</t>
  </si>
  <si>
    <t>Sunmaid</t>
  </si>
  <si>
    <t>Pitted Dates</t>
  </si>
  <si>
    <t>Mother Earth</t>
  </si>
  <si>
    <t>Dried Vegetable Soup Mix</t>
  </si>
  <si>
    <t>Rice Noodles</t>
  </si>
  <si>
    <t>Nissin</t>
  </si>
  <si>
    <t>Ramen, Chicken</t>
  </si>
  <si>
    <t>Summer Sausage</t>
  </si>
  <si>
    <t>SPAM</t>
  </si>
  <si>
    <t>SPAM Single</t>
  </si>
  <si>
    <t>Gold Energy</t>
  </si>
  <si>
    <t>Bare</t>
  </si>
  <si>
    <t>Banana Chips</t>
  </si>
  <si>
    <t>Dried Apricots</t>
  </si>
  <si>
    <t>Honey</t>
  </si>
  <si>
    <t>Thomas'</t>
  </si>
  <si>
    <t>Bagels, Plain</t>
  </si>
  <si>
    <t>Dry Milk, Nonfat</t>
  </si>
  <si>
    <t>Starkist</t>
  </si>
  <si>
    <t>Tuna, Hickory Smoked</t>
  </si>
  <si>
    <t>Salt</t>
  </si>
  <si>
    <t>Chicken, No Draining</t>
  </si>
  <si>
    <t>GoGo Squeeze</t>
  </si>
  <si>
    <t>Apple Sauce</t>
  </si>
  <si>
    <t>Mean</t>
  </si>
  <si>
    <t>Standard Dev</t>
  </si>
  <si>
    <t>Packing List</t>
  </si>
  <si>
    <t># of Days:</t>
  </si>
  <si>
    <t>Specify Item first, then Brand, then Servings</t>
  </si>
  <si>
    <t>Lbs</t>
  </si>
  <si>
    <t>Do not overwrite this column!</t>
  </si>
  <si>
    <t>Grand Total:</t>
  </si>
  <si>
    <t>Daily Total:</t>
  </si>
  <si>
    <t>Nutrition Scaled to your C/Day:</t>
  </si>
  <si>
    <t>Since %DV is based on a 2,000 calorie diet, the above row approximates the FDA recommendation for your actual intake.</t>
  </si>
  <si>
    <t>Moon Pie</t>
  </si>
  <si>
    <t>Moon Pie Minis</t>
  </si>
  <si>
    <t>Moon Pie Single</t>
  </si>
  <si>
    <t>Candy/Pastry</t>
  </si>
  <si>
    <t>Fat/Dairy</t>
  </si>
  <si>
    <t>Freeze-Dried Thai Chicken Coconut Curry</t>
  </si>
  <si>
    <t>Freeze-Dried Pad Thai with Chicken</t>
  </si>
  <si>
    <t>Freeze-Dried Mushroom Risotto</t>
  </si>
  <si>
    <t>Freeze-Dried Chili Mac with Beef</t>
  </si>
  <si>
    <t>Freeze-Dried Mac and Cheese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</si>
</sst>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0.0"/>
    <numFmt numFmtId="166" formatCode="#,##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6"/>
      <name val="Yu Gothic"/>
      <family val="2"/>
      <charset val="128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theme="1" tint="0.34998626667073579"/>
      <name val="Aptos Narrow"/>
      <family val="2"/>
      <scheme val="minor"/>
    </font>
    <font>
      <i/>
      <sz val="11"/>
      <color theme="0" tint="-0.1499984740745262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theme="8" tint="0.79998168889431442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98">
    <xf numFmtId="0" fontId="0" fillId="0" borderId="0" xfId="0"/>
    <xf numFmtId="165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4" fillId="0" borderId="0" xfId="0" applyNumberFormat="1" applyFont="1"/>
    <xf numFmtId="165" fontId="4" fillId="0" borderId="0" xfId="0" applyNumberFormat="1" applyFont="1"/>
    <xf numFmtId="1" fontId="5" fillId="0" borderId="0" xfId="0" applyNumberFormat="1" applyFont="1"/>
    <xf numFmtId="165" fontId="5" fillId="0" borderId="0" xfId="0" applyNumberFormat="1" applyFont="1"/>
    <xf numFmtId="2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9" fontId="0" fillId="0" borderId="0" xfId="0" applyNumberFormat="1"/>
    <xf numFmtId="9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7" fillId="0" borderId="0" xfId="0" applyFont="1"/>
    <xf numFmtId="1" fontId="3" fillId="0" borderId="0" xfId="0" applyNumberFormat="1" applyFont="1"/>
    <xf numFmtId="165" fontId="3" fillId="0" borderId="0" xfId="0" applyNumberFormat="1" applyFont="1"/>
    <xf numFmtId="2" fontId="1" fillId="0" borderId="0" xfId="0" applyNumberFormat="1" applyFont="1" applyAlignment="1">
      <alignment horizontal="center"/>
    </xf>
    <xf numFmtId="164" fontId="8" fillId="0" borderId="0" xfId="0" applyNumberFormat="1" applyFont="1"/>
    <xf numFmtId="1" fontId="8" fillId="0" borderId="0" xfId="0" applyNumberFormat="1" applyFont="1"/>
    <xf numFmtId="0" fontId="9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 wrapText="1"/>
    </xf>
    <xf numFmtId="164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9" fontId="8" fillId="0" borderId="0" xfId="0" applyNumberFormat="1" applyFont="1"/>
    <xf numFmtId="9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center"/>
    </xf>
    <xf numFmtId="9" fontId="0" fillId="0" borderId="0" xfId="0" applyNumberFormat="1" applyAlignment="1">
      <alignment wrapText="1"/>
    </xf>
    <xf numFmtId="2" fontId="4" fillId="0" borderId="0" xfId="0" applyNumberFormat="1" applyFont="1" applyAlignment="1">
      <alignment horizontal="center"/>
    </xf>
    <xf numFmtId="165" fontId="8" fillId="0" borderId="0" xfId="0" applyNumberFormat="1" applyFont="1"/>
    <xf numFmtId="1" fontId="12" fillId="0" borderId="0" xfId="0" applyNumberFormat="1" applyFont="1"/>
    <xf numFmtId="0" fontId="8" fillId="0" borderId="0" xfId="0" applyFont="1"/>
    <xf numFmtId="3" fontId="8" fillId="0" borderId="0" xfId="0" applyNumberFormat="1" applyFont="1"/>
    <xf numFmtId="2" fontId="0" fillId="0" borderId="0" xfId="0" applyNumberFormat="1"/>
    <xf numFmtId="165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4" fontId="0" fillId="0" borderId="0" xfId="1" applyFont="1"/>
    <xf numFmtId="9" fontId="0" fillId="0" borderId="0" xfId="2" applyFont="1"/>
    <xf numFmtId="9" fontId="0" fillId="0" borderId="0" xfId="2" applyFont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10" fillId="3" borderId="0" xfId="0" applyFont="1" applyFill="1"/>
    <xf numFmtId="0" fontId="10" fillId="3" borderId="0" xfId="0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right"/>
    </xf>
    <xf numFmtId="2" fontId="14" fillId="3" borderId="0" xfId="0" applyNumberFormat="1" applyFont="1" applyFill="1"/>
    <xf numFmtId="1" fontId="14" fillId="3" borderId="0" xfId="0" applyNumberFormat="1" applyFont="1" applyFill="1"/>
    <xf numFmtId="44" fontId="14" fillId="3" borderId="0" xfId="1" applyFont="1" applyFill="1"/>
    <xf numFmtId="0" fontId="15" fillId="0" borderId="0" xfId="0" applyFont="1"/>
    <xf numFmtId="2" fontId="9" fillId="3" borderId="0" xfId="0" applyNumberFormat="1" applyFont="1" applyFill="1"/>
    <xf numFmtId="1" fontId="9" fillId="3" borderId="0" xfId="0" applyNumberFormat="1" applyFont="1" applyFill="1"/>
    <xf numFmtId="44" fontId="9" fillId="3" borderId="0" xfId="1" applyFont="1" applyFill="1"/>
    <xf numFmtId="9" fontId="16" fillId="3" borderId="0" xfId="2" applyFont="1" applyFill="1"/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right"/>
    </xf>
    <xf numFmtId="9" fontId="14" fillId="3" borderId="0" xfId="2" applyFont="1" applyFill="1" applyAlignment="1"/>
    <xf numFmtId="9" fontId="18" fillId="3" borderId="0" xfId="2" applyFont="1" applyFill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1" fontId="19" fillId="0" borderId="0" xfId="0" applyNumberFormat="1" applyFont="1"/>
    <xf numFmtId="165" fontId="19" fillId="0" borderId="0" xfId="0" applyNumberFormat="1" applyFont="1"/>
    <xf numFmtId="1" fontId="9" fillId="3" borderId="0" xfId="0" applyNumberFormat="1" applyFont="1" applyFill="1" applyAlignment="1">
      <alignment horizontal="right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3" fontId="8" fillId="0" borderId="0" xfId="0" applyNumberFormat="1" applyFont="1" applyAlignment="1"/>
    <xf numFmtId="165" fontId="8" fillId="0" borderId="0" xfId="0" applyNumberFormat="1" applyFont="1" applyAlignment="1"/>
    <xf numFmtId="1" fontId="12" fillId="0" borderId="0" xfId="0" applyNumberFormat="1" applyFont="1" applyAlignment="1"/>
    <xf numFmtId="9" fontId="8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" formatCode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</font>
    </dxf>
    <dxf>
      <numFmt numFmtId="165" formatCode="0.0"/>
      <alignment horizontal="center"/>
    </dxf>
    <dxf>
      <alignment horizontal="center"/>
    </dxf>
    <dxf>
      <numFmt numFmtId="165" formatCode="0.0"/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alignment wrapTex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alignment wrapTex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alignment wrapTex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alignment wrapTex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alignment wrapTex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alignment wrapTex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Narrow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i/>
        <color theme="1" tint="0.34998626667073579"/>
      </font>
      <numFmt numFmtId="2" formatCode="0.00"/>
      <alignment horizontal="center" vertical="bottom" textRotation="0" wrapText="0" indent="0" justifyLastLine="0" shrinkToFit="0" readingOrder="0"/>
    </dxf>
    <dxf>
      <font>
        <i/>
        <color theme="1" tint="0.34998626667073579"/>
      </font>
      <numFmt numFmtId="4" formatCode="#,##0.00"/>
      <alignment horizontal="center" vertical="bottom" textRotation="0" wrapText="0" indent="0" justifyLastLine="0" shrinkToFit="0" readingOrder="0"/>
    </dxf>
    <dxf>
      <font>
        <i/>
        <color theme="1" tint="0.34998626667073579"/>
      </font>
      <numFmt numFmtId="2" formatCode="0.00"/>
      <alignment horizontal="center" vertical="bottom" textRotation="0" wrapText="0" indent="0" justifyLastLine="0" shrinkToFit="0" readingOrder="0"/>
    </dxf>
    <dxf>
      <font>
        <i/>
        <color theme="1" tint="0.34998626667073579"/>
      </font>
      <numFmt numFmtId="1" formatCode="0"/>
    </dxf>
    <dxf>
      <font>
        <i/>
        <color theme="1" tint="0.34998626667073579"/>
      </font>
      <numFmt numFmtId="165" formatCode="0.0"/>
    </dxf>
    <dxf>
      <font>
        <i/>
        <color theme="1" tint="0.34998626667073579"/>
      </font>
      <numFmt numFmtId="165" formatCode="0.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Narrow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i/>
        <color theme="1" tint="0.34998626667073579"/>
      </font>
      <numFmt numFmtId="166" formatCode="#,##0.0"/>
      <alignment horizontal="center" vertical="bottom" textRotation="0" wrapText="0" indent="0" justifyLastLine="0" shrinkToFit="0" readingOrder="0"/>
    </dxf>
    <dxf>
      <font>
        <i/>
        <color theme="1" tint="0.34998626667073579"/>
      </font>
      <numFmt numFmtId="1" formatCode="0"/>
    </dxf>
    <dxf>
      <font>
        <i/>
        <color theme="1" tint="0.34998626667073579"/>
      </font>
      <numFmt numFmtId="1" formatCode="0"/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general" vertical="bottom" textRotation="0" wrapText="0" indent="0" justifyLastLine="0" shrinkToFit="0" readingOrder="0"/>
    </dxf>
    <dxf>
      <font>
        <i val="0"/>
        <color rgb="FF000000"/>
      </font>
      <numFmt numFmtId="165" formatCode="0.0"/>
      <alignment horizontal="general" vertical="bottom" textRotation="0" wrapText="0" indent="0" justifyLastLine="0" shrinkToFit="0" readingOrder="0"/>
    </dxf>
    <dxf>
      <font>
        <i val="0"/>
        <color rgb="FF000000"/>
      </font>
      <numFmt numFmtId="3" formatCode="#,##0"/>
      <alignment horizontal="general" vertical="bottom" textRotation="0" wrapText="0" indent="0" justifyLastLine="0" shrinkToFit="0" readingOrder="0"/>
    </dxf>
    <dxf>
      <font>
        <color rgb="FF000000"/>
      </font>
      <numFmt numFmtId="166" formatCode="#,##0.0"/>
      <alignment horizontal="left" vertical="bottom" textRotation="0" wrapText="0" indent="0" justifyLastLine="0" shrinkToFit="0" readingOrder="0"/>
    </dxf>
    <dxf>
      <font>
        <color rgb="FF000000"/>
      </font>
      <numFmt numFmtId="3" formatCode="#,##0"/>
      <alignment horizontal="left" vertical="bottom" textRotation="0" wrapText="0" indent="0" justifyLastLine="0" shrinkToFit="0" readingOrder="0"/>
    </dxf>
    <dxf>
      <font>
        <b/>
        <i val="0"/>
        <color rgb="FF000000"/>
      </font>
      <numFmt numFmtId="164" formatCode="_([$$-409]* #,##0.00_);_([$$-409]* \(#,##0.00\);_([$$-409]* &quot;-&quot;??_);_(@_)"/>
      <alignment horizontal="center" vertical="bottom" textRotation="0" wrapText="0" indent="0" justifyLastLine="0" shrinkToFit="0" readingOrder="0"/>
    </dxf>
    <dxf>
      <font>
        <b/>
      </font>
      <numFmt numFmtId="2" formatCode="0.00"/>
      <alignment horizontal="center"/>
    </dxf>
    <dxf>
      <alignment horizontal="left"/>
    </dxf>
  </dxfs>
  <tableStyles count="0" defaultTableStyle="TableStyleMedium2" defaultPivotStyle="PivotStyleLight16"/>
  <colors>
    <mruColors>
      <color rgb="FFBE0E38"/>
      <color rgb="FF81A184"/>
      <color rgb="FFD2CBB2"/>
      <color rgb="FFD09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E70518-4411-C44A-B886-E89371F9CAF3}" name="Database" displayName="Database" ref="B24:AJ126" totalsRowShown="0" headerRowDxfId="78">
  <autoFilter ref="B24:AJ126" xr:uid="{2FE70518-4411-C44A-B886-E89371F9CAF3}"/>
  <sortState xmlns:xlrd2="http://schemas.microsoft.com/office/spreadsheetml/2017/richdata2" ref="B25:AJ126">
    <sortCondition descending="1" ref="E24:E126"/>
  </sortState>
  <tableColumns count="35">
    <tableColumn id="18" xr3:uid="{906CB652-2C32-164F-B0C5-E860D93AF0A6}" name="Brand"/>
    <tableColumn id="1" xr3:uid="{889E0DA4-9649-FF49-AE9F-07D20A1E13DB}" name="Item"/>
    <tableColumn id="2" xr3:uid="{2D9EEA8E-EB49-8A44-A0FA-7EF93FD6B740}" name="Type"/>
    <tableColumn id="10" xr3:uid="{3FF6A0AE-FE3D-F842-8AA7-AE42FF7CDFE1}" name="Score" dataDxfId="77">
      <calculatedColumnFormula>((Database[[#This Row],[Raw Score]]-MIN(Database[Raw Score]))/(MAX(Database[Raw Score])-MIN(Database[Raw Score])))*10</calculatedColumnFormula>
    </tableColumn>
    <tableColumn id="6" xr3:uid="{E90310EE-43BE-5C4F-BD3C-A3470085281E}" name="$" dataDxfId="76"/>
    <tableColumn id="16" xr3:uid="{F67EDA95-09B1-DB48-80B4-A42843C9B1BD}" name="Air" dataDxfId="75"/>
    <tableColumn id="15" xr3:uid="{520D8647-39D5-FC4D-9307-48A939759715}" name="Flex" dataDxfId="74"/>
    <tableColumn id="7" xr3:uid="{6F758FDE-5562-B14A-B8CD-F99224932D3A}" name="C/S" dataDxfId="73"/>
    <tableColumn id="11" xr3:uid="{D1778ECD-9795-F349-BA63-1449D6F311EC}" name="g/S" dataDxfId="72"/>
    <tableColumn id="4" xr3:uid="{F281A9CF-D680-1F46-BB14-8A89DEBF8FFC}" name="g" dataDxfId="71"/>
    <tableColumn id="8" xr3:uid="{93A580DE-CF99-7B4A-8A59-16CF55510B5B}" name="C/Lb" dataDxfId="70">
      <calculatedColumnFormula>IF(Database[[#This Row],[g]],Database[[#This Row],[C]]/Database[[#This Row],[Lb]],0)</calculatedColumnFormula>
    </tableColumn>
    <tableColumn id="9" xr3:uid="{900365D1-3819-E34E-8BB2-DE2A7130F818}" name="C/$" dataDxfId="69">
      <calculatedColumnFormula>IF(Database[[#This Row],[$]], Database[[#This Row],[C]]/Database[[#This Row],[$]],0)</calculatedColumnFormula>
    </tableColumn>
    <tableColumn id="14" xr3:uid="{463EFB19-1BCC-F444-A46B-88980FDBBC0A}" name="Pack" dataDxfId="68">
      <calculatedColumnFormula>IF(OR(ISBLANK(Database[[#This Row],[Air]]),ISBLANK(Database[[#This Row],[Flex]])),0,VLOOKUP(Database[[#This Row],[Flex]],FlexScore[],2,FALSE)+VLOOKUP(Database[[#This Row],[Air]],AirScore[],2,FALSE))</calculatedColumnFormula>
    </tableColumn>
    <tableColumn id="34" xr3:uid="{5448F95B-120A-4B85-90DE-178232567968}" name="S" dataDxfId="67">
      <calculatedColumnFormula>Database[[#This Row],[g]]/Database[[#This Row],[g/S]]</calculatedColumnFormula>
    </tableColumn>
    <tableColumn id="5" xr3:uid="{A32C2B40-EFAB-F348-9603-71CF96439DFE}" name="Lb" dataDxfId="66">
      <calculatedColumnFormula>IF(Database[[#This Row],[g]],Database[[#This Row],[g]]/453.59237,0)</calculatedColumnFormula>
    </tableColumn>
    <tableColumn id="19" xr3:uid="{BBBB4E54-3B8F-754A-81A6-28C45049AB24}" name="oz" dataDxfId="65">
      <calculatedColumnFormula>Database[[#This Row],[Lb]]*16</calculatedColumnFormula>
    </tableColumn>
    <tableColumn id="3" xr3:uid="{D38230A2-50EF-2845-8B70-CEF90BB7E244}" name="C" dataDxfId="64">
      <calculatedColumnFormula>IF(Database[[#This Row],[g]],(Database[[#This Row],[C/S]]/Database[[#This Row],[g/S]])*Database[[#This Row],[g]],0)</calculatedColumnFormula>
    </tableColumn>
    <tableColumn id="12" xr3:uid="{43C85254-0E56-0B4D-AC11-AE6BC8D3BF4E}" name="C/Lb N" dataDxfId="63">
      <calculatedColumnFormula>_xlfn.NORM.DIST(Database[[#This Row],[C/Lb]],$L$127,$L$128,TRUE)</calculatedColumnFormula>
    </tableColumn>
    <tableColumn id="17" xr3:uid="{A2C36842-31A4-0A41-93DB-9DFB934EE962}" name="Pack N" dataDxfId="62">
      <calculatedColumnFormula>_xlfn.NORM.DIST(Database[[#This Row],[Pack]],$N$127,$N$128,TRUE)</calculatedColumnFormula>
    </tableColumn>
    <tableColumn id="13" xr3:uid="{A02166A8-421C-E149-8008-A362DB19D18D}" name="C/$ N" dataDxfId="61">
      <calculatedColumnFormula>_xlfn.NORM.DIST(Database[[#This Row],[C/$]],$M$127,$M$128,TRUE)</calculatedColumnFormula>
    </tableColumn>
    <tableColumn id="35" xr3:uid="{94196EE5-6336-4D7E-AB60-AF4CAC9513D7}" name="Raw Score" dataDxfId="60">
      <calculatedColumnFormula>Database[[#This Row],[C/Lb N]]*$F$14+Database[[#This Row],[C/$ N]]*$F$16+Database[[#This Row],[Pack N]]*$F$15</calculatedColumnFormula>
    </tableColumn>
    <tableColumn id="24" xr3:uid="{6D61D88B-3401-45AA-AD89-6AF23C27B687}" name="Fat" dataDxfId="59"/>
    <tableColumn id="25" xr3:uid="{70FCBC18-6B41-48C2-AB27-F725BBB1EC23}" name="S Fat" dataDxfId="58"/>
    <tableColumn id="26" xr3:uid="{2AF76C4A-DD29-4BE6-97F3-D6B332D909BC}" name="Chol" dataDxfId="57"/>
    <tableColumn id="27" xr3:uid="{4C6559BF-2BCC-41B5-A705-6B0D48CFAC81}" name="Na" dataDxfId="56"/>
    <tableColumn id="28" xr3:uid="{B57C7A9C-CBD6-4733-ACDF-C835C74C38FE}" name="Carb" dataDxfId="55"/>
    <tableColumn id="29" xr3:uid="{0329A0A1-066A-4C03-A2DA-1808D40A7BDA}" name="Fib" dataDxfId="54"/>
    <tableColumn id="30" xr3:uid="{1FCE5B8A-3F9B-4E75-8B42-0FF1DA29A3C0}" name="A. Sug" dataDxfId="53"/>
    <tableColumn id="31" xr3:uid="{CCE7EBAB-1733-4FD9-A534-005EE779BF61}" name="Pro" dataDxfId="52"/>
    <tableColumn id="33" xr3:uid="{0B336E93-6E80-4A2F-8F1B-4B18238B02FD}" name="Vit A" dataDxfId="51"/>
    <tableColumn id="32" xr3:uid="{998863E7-0ED5-472F-9B89-E9F279C2A27D}" name="Vit C" dataDxfId="50"/>
    <tableColumn id="20" xr3:uid="{F1E0337E-795F-4493-AEEE-A5BEA2AB6F99}" name="Vit D" dataDxfId="49"/>
    <tableColumn id="21" xr3:uid="{5FF24841-C794-4214-B0DE-3B7C57ECF8D6}" name="Ca" dataDxfId="48"/>
    <tableColumn id="22" xr3:uid="{27D82E92-BC65-4BA1-811F-E00546B097FB}" name="Fe" dataDxfId="47"/>
    <tableColumn id="23" xr3:uid="{2B255241-C4E9-46FE-929E-A28DD82F26B5}" name="K" dataDxfId="46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8DF37D-1AE5-4132-820E-79A5597C6441}" name="Factors" displayName="Factors" ref="E13:F16" totalsRowShown="0" headerRowDxfId="45">
  <autoFilter ref="E13:F16" xr:uid="{418DF37D-1AE5-4132-820E-79A5597C6441}">
    <filterColumn colId="0" hiddenButton="1"/>
    <filterColumn colId="1" hiddenButton="1"/>
  </autoFilter>
  <tableColumns count="2">
    <tableColumn id="1" xr3:uid="{BDB048BA-4596-458F-96AC-A5ED4DE63674}" name="Factor"/>
    <tableColumn id="2" xr3:uid="{2FDF4FEF-3B3F-49F1-BE72-4417D48E4390}" name="Value" dataDxfId="44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998BE9-DFDB-4384-BF4F-8EBFE27DE2E9}" name="FlexScore" displayName="FlexScore" ref="H13:I21" totalsRowShown="0" headerRowDxfId="43">
  <autoFilter ref="H13:I21" xr:uid="{D0998BE9-DFDB-4384-BF4F-8EBFE27DE2E9}">
    <filterColumn colId="0" hiddenButton="1"/>
    <filterColumn colId="1" hiddenButton="1"/>
  </autoFilter>
  <sortState xmlns:xlrd2="http://schemas.microsoft.com/office/spreadsheetml/2017/richdata2" ref="H14:I21">
    <sortCondition descending="1" ref="I13:I21"/>
  </sortState>
  <tableColumns count="2">
    <tableColumn id="1" xr3:uid="{CFFCA952-DCBF-4746-9EE9-D33E60B1243D}" name="Flex"/>
    <tableColumn id="2" xr3:uid="{3E8876F8-B76F-4CC5-B268-C7EFEAC2F44C}" name="Score" dataDxfId="42"/>
  </tableColumns>
  <tableStyleInfo name="TableStyleMedium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7DFA18F-7604-473B-A2D1-CE2B2139C038}" name="AirScore" displayName="AirScore" ref="K13:L16" totalsRowShown="0" headerRowDxfId="41">
  <autoFilter ref="K13:L16" xr:uid="{47DFA18F-7604-473B-A2D1-CE2B2139C038}">
    <filterColumn colId="0" hiddenButton="1"/>
    <filterColumn colId="1" hiddenButton="1"/>
  </autoFilter>
  <tableColumns count="2">
    <tableColumn id="1" xr3:uid="{4EEC0DC9-0462-41E8-934B-743B57FF8D25}" name="Air"/>
    <tableColumn id="2" xr3:uid="{EEE9BD07-5605-4984-9460-904C1D5FF6C9}" name="Score" dataDxfId="40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EDD4E89-CB6B-4695-89D3-DB00A4A09B37}" name="Types" displayName="Types" ref="AL24:AL40" totalsRowShown="0">
  <autoFilter ref="AL24:AL40" xr:uid="{DEDD4E89-CB6B-4695-89D3-DB00A4A09B37}"/>
  <sortState xmlns:xlrd2="http://schemas.microsoft.com/office/spreadsheetml/2017/richdata2" ref="AL25:AL40">
    <sortCondition ref="AL24:AL40"/>
  </sortState>
  <tableColumns count="1">
    <tableColumn id="1" xr3:uid="{11D30657-6C3D-4185-99A2-9908705B5526}" name="Types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C22C13F-1B46-4F59-B663-2544C9611AD5}" name="PackingList" displayName="PackingList" ref="B134:W149" totalsRowShown="0" totalsRowDxfId="39">
  <autoFilter ref="B134:W149" xr:uid="{1C22C13F-1B46-4F59-B663-2544C9611AD5}"/>
  <sortState xmlns:xlrd2="http://schemas.microsoft.com/office/spreadsheetml/2017/richdata2" ref="B135:W149">
    <sortCondition ref="C134:C149"/>
  </sortState>
  <tableColumns count="22">
    <tableColumn id="1" xr3:uid="{2D8717CF-8B4D-4EDD-881E-7EAE733E85D6}" name="Brand" totalsRowDxfId="38"/>
    <tableColumn id="2" xr3:uid="{9307DD8E-001B-4363-B24B-49E12D9B3CA3}" name="Item" totalsRowDxfId="37"/>
    <tableColumn id="26" xr3:uid="{C907FAF1-6E57-46DB-A077-FA227E1D6151}" name="Score" dataDxfId="36" totalsRowDxfId="35" dataCellStyle="Currency">
      <calculatedColumnFormula array="1">IF(ISBLANK(PackingList[[#This Row],[Item]]),"", _xlfn.XLOOKUP(1,(PackingList[[#This Row],[Item]]=Database[Item])*(PackingList[[#This Row],[Brand]]=Database[Brand]),Database[Score],0))</calculatedColumnFormula>
    </tableColumn>
    <tableColumn id="21" xr3:uid="{5E4FB4D8-07C4-42B2-B65C-254EDD333D4C}" name="S" totalsRowDxfId="34"/>
    <tableColumn id="3" xr3:uid="{67F646AC-6EDA-4F44-B421-022920891EA1}" name="Lbs" dataDxfId="33" totalsRowDxfId="32">
      <calculatedColumnFormula array="1">IF(ISBLANK(PackingList[[#This Row],[Item]]),"", PackingList[[#This Row],[S]]* _xlfn.XLOOKUP(1,(PackingList[[#This Row],[Item]]=Database[Item])*(PackingList[[#This Row],[Brand]]=Database[Brand]),Database[Lb]/Database[S],0))</calculatedColumnFormula>
    </tableColumn>
    <tableColumn id="22" xr3:uid="{6D20BC80-001C-4E57-8A12-CE49E0B514EA}" name="oz" dataDxfId="31" totalsRowDxfId="30">
      <calculatedColumnFormula>IF(ISBLANK(PackingList[[#This Row],[Item]]),"",PackingList[[#This Row],[Lbs]]*16)</calculatedColumnFormula>
    </tableColumn>
    <tableColumn id="4" xr3:uid="{1849C845-D269-444D-9102-95AC2B709336}" name="C" dataDxfId="29" totalsRowDxfId="28">
      <calculatedColumnFormula array="1">IF(ISBLANK(PackingList[[#This Row],[Item]]),"", PackingList[[#This Row],[S]]* _xlfn.XLOOKUP(1,(PackingList[[#This Row],[Item]]=Database[Item])*(PackingList[[#This Row],[Brand]]=Database[Brand]),Database[C/S],0))</calculatedColumnFormula>
    </tableColumn>
    <tableColumn id="23" xr3:uid="{B11A18B4-A7F5-40B2-BB45-943C4060C2A2}" name="$" totalsRowDxfId="27" dataCellStyle="Currency">
      <calculatedColumnFormula array="1">IF(ISBLANK(PackingList[[#This Row],[Item]]),"", PackingList[[#This Row],[S]]* _xlfn.XLOOKUP(1,(PackingList[[#This Row],[Item]]=Database[Item])*(PackingList[[#This Row],[Brand]]=Database[Brand]),Database[$]/Database[S],0))</calculatedColumnFormula>
    </tableColumn>
    <tableColumn id="5" xr3:uid="{F71CC9D3-1FD1-4CB3-B912-CFE25750D86F}" name="Fat" totalsRowDxfId="26" dataCellStyle="Percent">
      <calculatedColumnFormula array="1">IF(ISBLANK(PackingList[[#This Row],[Item]]),"", PackingList[[#This Row],[S]]* _xlfn.XLOOKUP(1,(PackingList[[#This Row],[Item]]=Database[Item])*(PackingList[[#This Row],[Brand]]=Database[Brand]),Database[Fat],0))</calculatedColumnFormula>
    </tableColumn>
    <tableColumn id="6" xr3:uid="{22C38C29-B18D-4FCC-86C0-33BBC423340D}" name="S Fat" dataDxfId="25" totalsRowDxfId="24" dataCellStyle="Percent">
      <calculatedColumnFormula array="1">IF(ISBLANK(PackingList[[#This Row],[Item]]),"", PackingList[[#This Row],[S]]* _xlfn.XLOOKUP(1,(PackingList[[#This Row],[Item]]=Database[Item])*(PackingList[[#This Row],[Brand]]=Database[Brand]),Database[S Fat],0))</calculatedColumnFormula>
    </tableColumn>
    <tableColumn id="7" xr3:uid="{26A9EC3F-87E7-4F8C-98C0-B7EAEF4653F2}" name="Chol" dataDxfId="23" totalsRowDxfId="22" dataCellStyle="Percent">
      <calculatedColumnFormula array="1">IF(ISBLANK(PackingList[[#This Row],[Item]]),"", PackingList[[#This Row],[S]]* _xlfn.XLOOKUP(1,(PackingList[[#This Row],[Item]]=Database[Item])*(PackingList[[#This Row],[Brand]]=Database[Brand]),Database[Chol],0))</calculatedColumnFormula>
    </tableColumn>
    <tableColumn id="8" xr3:uid="{3F2ECBBC-CD6D-4E7F-9DBF-A3D02045EF7E}" name="Na" dataDxfId="21" totalsRowDxfId="20" dataCellStyle="Percent">
      <calculatedColumnFormula array="1">IF(ISBLANK(PackingList[[#This Row],[Item]]),"", PackingList[[#This Row],[S]]* _xlfn.XLOOKUP(1,(PackingList[[#This Row],[Item]]=Database[Item])*(PackingList[[#This Row],[Brand]]=Database[Brand]),Database[Na],0))</calculatedColumnFormula>
    </tableColumn>
    <tableColumn id="9" xr3:uid="{7182361C-7F69-4AC2-89FA-ACD27CA93523}" name="Carb" dataDxfId="19" totalsRowDxfId="18" dataCellStyle="Percent">
      <calculatedColumnFormula array="1">IF(ISBLANK(PackingList[[#This Row],[Item]]),"", PackingList[[#This Row],[S]]* _xlfn.XLOOKUP(1,(PackingList[[#This Row],[Item]]=Database[Item])*(PackingList[[#This Row],[Brand]]=Database[Brand]),Database[Carb],0))</calculatedColumnFormula>
    </tableColumn>
    <tableColumn id="10" xr3:uid="{EEB6470A-9EB4-4681-A637-46EB3417E917}" name="Fib" dataDxfId="17" totalsRowDxfId="16" dataCellStyle="Percent">
      <calculatedColumnFormula array="1">IF(ISBLANK(PackingList[[#This Row],[Item]]),"", PackingList[[#This Row],[S]]* _xlfn.XLOOKUP(1,(PackingList[[#This Row],[Item]]=Database[Item])*(PackingList[[#This Row],[Brand]]=Database[Brand]),Database[Fib],0))</calculatedColumnFormula>
    </tableColumn>
    <tableColumn id="11" xr3:uid="{BE192765-0559-48E6-9FC3-1063199B3F89}" name="A. Sug" dataDxfId="15" totalsRowDxfId="14" dataCellStyle="Percent">
      <calculatedColumnFormula array="1">IF(ISBLANK(PackingList[[#This Row],[Item]]),"", PackingList[[#This Row],[S]]* _xlfn.XLOOKUP(1,(PackingList[[#This Row],[Item]]=Database[Item])*(PackingList[[#This Row],[Brand]]=Database[Brand]),Database[A. Sug],0))</calculatedColumnFormula>
    </tableColumn>
    <tableColumn id="12" xr3:uid="{AA411642-DF7B-4DB5-A2EC-483D4ACD70A1}" name="Pro" dataDxfId="13" totalsRowDxfId="12" dataCellStyle="Percent">
      <calculatedColumnFormula array="1">IF(ISBLANK(PackingList[[#This Row],[Item]]),"", PackingList[[#This Row],[S]]* _xlfn.XLOOKUP(1,(PackingList[[#This Row],[Item]]=Database[Item])*(PackingList[[#This Row],[Brand]]=Database[Brand]),Database[Pro],0))</calculatedColumnFormula>
    </tableColumn>
    <tableColumn id="13" xr3:uid="{3F029E96-F23A-4AA3-8600-4F69AD49FD35}" name="Vit A" dataDxfId="11" totalsRowDxfId="10" dataCellStyle="Percent">
      <calculatedColumnFormula array="1">IF(ISBLANK(PackingList[[#This Row],[Item]]),"", PackingList[[#This Row],[S]]* _xlfn.XLOOKUP(1,(PackingList[[#This Row],[Item]]=Database[Item])*(PackingList[[#This Row],[Brand]]=Database[Brand]),Database[Vit A],0))</calculatedColumnFormula>
    </tableColumn>
    <tableColumn id="14" xr3:uid="{4CFAE208-2925-438D-92F0-FBE0EFC6B9CC}" name="Vit C" dataDxfId="9" totalsRowDxfId="8" dataCellStyle="Percent">
      <calculatedColumnFormula array="1">IF(ISBLANK(PackingList[[#This Row],[Item]]),"", PackingList[[#This Row],[S]]* _xlfn.XLOOKUP(1,(PackingList[[#This Row],[Item]]=Database[Item])*(PackingList[[#This Row],[Brand]]=Database[Brand]),Database[Vit C],0))</calculatedColumnFormula>
    </tableColumn>
    <tableColumn id="15" xr3:uid="{F6B41124-1A18-4DF1-AF56-D80A8273C995}" name="Vit D" dataDxfId="7" totalsRowDxfId="6" dataCellStyle="Percent">
      <calculatedColumnFormula array="1">IF(ISBLANK(PackingList[[#This Row],[Item]]),"", PackingList[[#This Row],[S]]* _xlfn.XLOOKUP(1,(PackingList[[#This Row],[Item]]=Database[Item])*(PackingList[[#This Row],[Brand]]=Database[Brand]),Database[Vit D],0))</calculatedColumnFormula>
    </tableColumn>
    <tableColumn id="16" xr3:uid="{FA22B868-0FE1-486F-AA24-B4E3538BFE4A}" name="Ca" dataDxfId="5" totalsRowDxfId="4" dataCellStyle="Percent">
      <calculatedColumnFormula array="1">IF(ISBLANK(PackingList[[#This Row],[Item]]),"", PackingList[[#This Row],[S]]* _xlfn.XLOOKUP(1,(PackingList[[#This Row],[Item]]=Database[Item])*(PackingList[[#This Row],[Brand]]=Database[Brand]),Database[Ca],0))</calculatedColumnFormula>
    </tableColumn>
    <tableColumn id="17" xr3:uid="{400EA2FF-2A46-42AB-ACC6-E0E649D07306}" name="Fe" dataDxfId="3" totalsRowDxfId="2" dataCellStyle="Percent">
      <calculatedColumnFormula array="1">IF(ISBLANK(PackingList[[#This Row],[Item]]),"", PackingList[[#This Row],[S]]* _xlfn.XLOOKUP(1,(PackingList[[#This Row],[Item]]=Database[Item])*(PackingList[[#This Row],[Brand]]=Database[Brand]),Database[Fe],0))</calculatedColumnFormula>
    </tableColumn>
    <tableColumn id="18" xr3:uid="{5C076738-E365-48C4-9827-7DE22356D347}" name="K" dataDxfId="1" totalsRowDxfId="0" dataCellStyle="Percent">
      <calculatedColumnFormula array="1">IF(ISBLANK(PackingList[[#This Row],[Item]]),"", PackingList[[#This Row],[S]]* _xlfn.XLOOKUP(1,(PackingList[[#This Row],[Item]]=Database[Item])*(PackingList[[#This Row],[Brand]]=Database[Brand]),Database[K],0))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432C-62F3-4C46-811D-C39BE6503919}">
  <dimension ref="A1:DU176"/>
  <sheetViews>
    <sheetView tabSelected="1" zoomScaleNormal="100" zoomScaleSheetLayoutView="100" workbookViewId="0">
      <selection activeCell="F59" sqref="F59"/>
    </sheetView>
  </sheetViews>
  <sheetFormatPr defaultRowHeight="15" x14ac:dyDescent="0.2"/>
  <cols>
    <col min="1" max="1" width="2.95703125" bestFit="1" customWidth="1"/>
    <col min="2" max="2" width="17.75390625" style="4" bestFit="1" customWidth="1"/>
    <col min="3" max="3" width="29.0546875" bestFit="1" customWidth="1"/>
    <col min="4" max="4" width="11.43359375" bestFit="1" customWidth="1"/>
    <col min="5" max="5" width="9.953125" style="3" bestFit="1" customWidth="1"/>
    <col min="6" max="6" width="8.47265625" bestFit="1" customWidth="1"/>
    <col min="7" max="7" width="6.72265625" bestFit="1" customWidth="1"/>
    <col min="8" max="8" width="12.10546875" bestFit="1" customWidth="1"/>
    <col min="9" max="9" width="9.01171875" customWidth="1"/>
    <col min="10" max="10" width="7.53125" bestFit="1" customWidth="1"/>
    <col min="11" max="11" width="8.203125" bestFit="1" customWidth="1"/>
    <col min="12" max="12" width="8.7421875" bestFit="1" customWidth="1"/>
    <col min="13" max="13" width="7.26171875" bestFit="1" customWidth="1"/>
    <col min="14" max="14" width="8.33984375" bestFit="1" customWidth="1"/>
    <col min="15" max="16" width="7.26171875" bestFit="1" customWidth="1"/>
    <col min="17" max="17" width="6.1875" bestFit="1" customWidth="1"/>
    <col min="18" max="18" width="7.93359375" bestFit="1" customWidth="1"/>
    <col min="19" max="19" width="9.953125" style="4" bestFit="1" customWidth="1"/>
    <col min="20" max="20" width="9.81640625" bestFit="1" customWidth="1"/>
    <col min="21" max="21" width="9.01171875" style="4" bestFit="1" customWidth="1"/>
    <col min="22" max="22" width="8.7421875" customWidth="1"/>
    <col min="23" max="24" width="8.33984375" bestFit="1" customWidth="1"/>
    <col min="25" max="25" width="6.58984375" bestFit="1" customWidth="1"/>
    <col min="26" max="26" width="8.33984375" bestFit="1" customWidth="1"/>
    <col min="27" max="27" width="6.72265625" bestFit="1" customWidth="1"/>
    <col min="28" max="28" width="9.4140625" bestFit="1" customWidth="1"/>
    <col min="29" max="29" width="7.12890625" bestFit="1" customWidth="1"/>
    <col min="30" max="30" width="7.80078125" bestFit="1" customWidth="1"/>
    <col min="31" max="32" width="8.203125" bestFit="1" customWidth="1"/>
    <col min="33" max="33" width="6.58984375" bestFit="1" customWidth="1"/>
    <col min="34" max="34" width="6.3203125" bestFit="1" customWidth="1"/>
    <col min="35" max="35" width="5.24609375" bestFit="1" customWidth="1"/>
    <col min="36" max="36" width="4.5703125" bestFit="1" customWidth="1"/>
    <col min="37" max="38" width="11.43359375" bestFit="1" customWidth="1"/>
  </cols>
  <sheetData>
    <row r="1" spans="1:21" ht="21" x14ac:dyDescent="0.3">
      <c r="A1" s="6">
        <v>1</v>
      </c>
      <c r="B1" s="5" t="s">
        <v>0</v>
      </c>
      <c r="D1" s="3"/>
      <c r="E1"/>
      <c r="R1" s="4"/>
      <c r="S1"/>
      <c r="T1" s="4"/>
      <c r="U1"/>
    </row>
    <row r="2" spans="1:21" ht="105" customHeight="1" x14ac:dyDescent="0.2">
      <c r="A2" s="4"/>
      <c r="B2" s="90" t="s">
        <v>1</v>
      </c>
      <c r="C2" s="91"/>
      <c r="D2" s="3"/>
      <c r="E2"/>
      <c r="R2" s="4"/>
      <c r="S2"/>
      <c r="T2" s="4"/>
      <c r="U2"/>
    </row>
    <row r="3" spans="1:21" x14ac:dyDescent="0.2">
      <c r="A3" s="4"/>
      <c r="B3" s="79"/>
      <c r="C3" s="80"/>
      <c r="D3" s="3"/>
      <c r="E3"/>
      <c r="R3" s="4"/>
      <c r="S3"/>
      <c r="T3" s="4"/>
      <c r="U3"/>
    </row>
    <row r="4" spans="1:21" x14ac:dyDescent="0.2">
      <c r="A4" s="4"/>
      <c r="B4" s="96" t="s">
        <v>2</v>
      </c>
      <c r="C4" s="97"/>
      <c r="D4" s="3"/>
      <c r="E4"/>
      <c r="R4" s="4"/>
      <c r="S4"/>
      <c r="T4" s="4"/>
      <c r="U4"/>
    </row>
    <row r="5" spans="1:21" x14ac:dyDescent="0.2">
      <c r="A5" s="4"/>
      <c r="B5" s="92" t="s">
        <v>3</v>
      </c>
      <c r="C5" s="93"/>
      <c r="D5" s="3"/>
      <c r="E5"/>
      <c r="R5" s="4"/>
      <c r="S5"/>
      <c r="T5" s="4"/>
      <c r="U5"/>
    </row>
    <row r="6" spans="1:21" ht="46.5" customHeight="1" x14ac:dyDescent="0.2">
      <c r="A6" s="4"/>
      <c r="B6" s="92" t="s">
        <v>4</v>
      </c>
      <c r="C6" s="93"/>
      <c r="D6" s="3"/>
      <c r="E6"/>
      <c r="R6" s="4"/>
      <c r="S6"/>
      <c r="T6" s="4"/>
      <c r="U6"/>
    </row>
    <row r="7" spans="1:21" ht="44.25" customHeight="1" x14ac:dyDescent="0.2">
      <c r="A7" s="4"/>
      <c r="B7" s="92" t="s">
        <v>5</v>
      </c>
      <c r="C7" s="93"/>
      <c r="D7" s="3"/>
      <c r="E7"/>
      <c r="R7" s="4"/>
      <c r="S7"/>
      <c r="T7" s="4"/>
      <c r="U7"/>
    </row>
    <row r="8" spans="1:21" ht="31.5" customHeight="1" x14ac:dyDescent="0.2">
      <c r="A8" s="4"/>
      <c r="B8" s="92" t="s">
        <v>6</v>
      </c>
      <c r="C8" s="93"/>
      <c r="D8" s="3"/>
      <c r="E8"/>
      <c r="R8" s="4"/>
      <c r="S8"/>
      <c r="T8" s="4"/>
      <c r="U8"/>
    </row>
    <row r="9" spans="1:21" x14ac:dyDescent="0.2">
      <c r="A9" s="4"/>
      <c r="B9" s="81"/>
      <c r="C9" s="82"/>
      <c r="D9" s="3"/>
      <c r="E9"/>
      <c r="R9" s="4"/>
      <c r="S9"/>
      <c r="T9" s="4"/>
      <c r="U9"/>
    </row>
    <row r="10" spans="1:21" ht="45.75" customHeight="1" x14ac:dyDescent="0.2">
      <c r="A10" s="4"/>
      <c r="B10" s="94" t="s">
        <v>7</v>
      </c>
      <c r="C10" s="95"/>
      <c r="D10" s="3"/>
      <c r="E10"/>
      <c r="R10" s="4"/>
      <c r="S10"/>
      <c r="T10" s="4"/>
      <c r="U10"/>
    </row>
    <row r="11" spans="1:21" x14ac:dyDescent="0.2">
      <c r="A11" s="4"/>
      <c r="B11"/>
      <c r="D11" s="3"/>
      <c r="E11"/>
      <c r="R11" s="4"/>
      <c r="S11"/>
      <c r="T11" s="4"/>
      <c r="U11"/>
    </row>
    <row r="12" spans="1:21" ht="21" x14ac:dyDescent="0.3">
      <c r="A12" s="6">
        <v>2</v>
      </c>
      <c r="B12" s="5" t="s">
        <v>8</v>
      </c>
      <c r="D12" s="3"/>
      <c r="E12"/>
      <c r="R12" s="4"/>
      <c r="S12"/>
      <c r="T12" s="4"/>
      <c r="U12"/>
    </row>
    <row r="13" spans="1:21" x14ac:dyDescent="0.2">
      <c r="A13" s="4"/>
      <c r="B13" s="90" t="s">
        <v>9</v>
      </c>
      <c r="C13" s="91"/>
      <c r="D13" s="3"/>
      <c r="E13" s="4" t="s">
        <v>10</v>
      </c>
      <c r="F13" s="4" t="s">
        <v>11</v>
      </c>
      <c r="H13" s="4" t="s">
        <v>12</v>
      </c>
      <c r="I13" s="4" t="s">
        <v>13</v>
      </c>
      <c r="J13" s="4"/>
      <c r="K13" s="4" t="s">
        <v>14</v>
      </c>
      <c r="L13" s="4" t="s">
        <v>13</v>
      </c>
      <c r="R13" s="4"/>
      <c r="S13"/>
      <c r="T13" s="4"/>
      <c r="U13"/>
    </row>
    <row r="14" spans="1:21" x14ac:dyDescent="0.2">
      <c r="A14" s="4"/>
      <c r="B14" s="92"/>
      <c r="C14" s="93"/>
      <c r="D14" s="3"/>
      <c r="E14" t="s">
        <v>15</v>
      </c>
      <c r="F14" s="4">
        <v>6</v>
      </c>
      <c r="H14" t="s">
        <v>16</v>
      </c>
      <c r="I14" s="16">
        <v>4</v>
      </c>
      <c r="K14" t="s">
        <v>17</v>
      </c>
      <c r="L14" s="16">
        <v>4</v>
      </c>
      <c r="R14" s="4"/>
      <c r="S14"/>
      <c r="T14" s="4"/>
      <c r="U14"/>
    </row>
    <row r="15" spans="1:21" x14ac:dyDescent="0.2">
      <c r="A15" s="4"/>
      <c r="B15" s="92"/>
      <c r="C15" s="93"/>
      <c r="D15" s="3"/>
      <c r="E15" t="s">
        <v>18</v>
      </c>
      <c r="F15" s="4">
        <v>2</v>
      </c>
      <c r="H15" t="s">
        <v>19</v>
      </c>
      <c r="I15" s="16">
        <v>4</v>
      </c>
      <c r="K15" s="15" t="s">
        <v>20</v>
      </c>
      <c r="L15" s="16">
        <v>2</v>
      </c>
      <c r="R15" s="4"/>
      <c r="S15"/>
      <c r="T15" s="4"/>
      <c r="U15"/>
    </row>
    <row r="16" spans="1:21" x14ac:dyDescent="0.2">
      <c r="A16" s="4"/>
      <c r="B16" s="92"/>
      <c r="C16" s="93"/>
      <c r="D16" s="3"/>
      <c r="E16" t="s">
        <v>21</v>
      </c>
      <c r="F16" s="4">
        <v>3</v>
      </c>
      <c r="H16" t="s">
        <v>22</v>
      </c>
      <c r="I16" s="16">
        <v>3</v>
      </c>
      <c r="K16" s="15" t="s">
        <v>23</v>
      </c>
      <c r="L16" s="16">
        <v>0</v>
      </c>
      <c r="R16" s="4"/>
      <c r="S16"/>
      <c r="T16" s="4"/>
      <c r="U16"/>
    </row>
    <row r="17" spans="1:38" x14ac:dyDescent="0.2">
      <c r="A17" s="4"/>
      <c r="B17" s="92"/>
      <c r="C17" s="93"/>
      <c r="D17" s="3"/>
      <c r="E17"/>
      <c r="F17" s="3"/>
      <c r="H17" t="s">
        <v>24</v>
      </c>
      <c r="I17" s="16">
        <v>2</v>
      </c>
      <c r="R17" s="4"/>
      <c r="S17"/>
      <c r="T17" s="4"/>
      <c r="U17"/>
    </row>
    <row r="18" spans="1:38" x14ac:dyDescent="0.2">
      <c r="A18" s="4"/>
      <c r="B18" s="92"/>
      <c r="C18" s="93"/>
      <c r="D18" s="3"/>
      <c r="E18"/>
      <c r="F18" s="3"/>
      <c r="H18" t="s">
        <v>25</v>
      </c>
      <c r="I18" s="16">
        <v>2.5</v>
      </c>
      <c r="R18" s="4"/>
      <c r="S18"/>
      <c r="T18" s="4"/>
      <c r="U18"/>
    </row>
    <row r="19" spans="1:38" x14ac:dyDescent="0.2">
      <c r="A19" s="4"/>
      <c r="B19" s="92"/>
      <c r="C19" s="93"/>
      <c r="D19" s="3"/>
      <c r="E19"/>
      <c r="F19" s="3"/>
      <c r="H19" t="s">
        <v>26</v>
      </c>
      <c r="I19" s="16">
        <v>2</v>
      </c>
      <c r="R19" s="4"/>
      <c r="S19"/>
      <c r="T19" s="4"/>
      <c r="U19"/>
    </row>
    <row r="20" spans="1:38" x14ac:dyDescent="0.2">
      <c r="A20" s="4"/>
      <c r="B20" s="92"/>
      <c r="C20" s="93"/>
      <c r="D20" s="3"/>
      <c r="E20"/>
      <c r="F20" s="3"/>
      <c r="H20" t="s">
        <v>27</v>
      </c>
      <c r="I20" s="16">
        <v>1</v>
      </c>
      <c r="R20" s="4"/>
      <c r="S20"/>
      <c r="T20" s="4"/>
      <c r="U20"/>
    </row>
    <row r="21" spans="1:38" x14ac:dyDescent="0.2">
      <c r="A21" s="4"/>
      <c r="B21" s="94"/>
      <c r="C21" s="95"/>
      <c r="E21"/>
      <c r="F21" s="3"/>
      <c r="H21" t="s">
        <v>28</v>
      </c>
      <c r="I21" s="16">
        <v>0</v>
      </c>
      <c r="R21" s="4"/>
      <c r="S21"/>
      <c r="T21" s="4"/>
      <c r="U21"/>
    </row>
    <row r="23" spans="1:38" x14ac:dyDescent="0.2">
      <c r="B23" s="87" t="s">
        <v>29</v>
      </c>
      <c r="C23" s="88"/>
      <c r="D23" s="88"/>
      <c r="E23" s="88"/>
      <c r="F23" s="88"/>
      <c r="G23" s="88"/>
      <c r="H23" s="88"/>
      <c r="I23" s="88"/>
      <c r="J23" s="88"/>
      <c r="K23" s="89"/>
      <c r="R23" s="4"/>
      <c r="S23"/>
      <c r="T23" s="4"/>
      <c r="W23" s="87" t="s">
        <v>30</v>
      </c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9"/>
    </row>
    <row r="24" spans="1:38" x14ac:dyDescent="0.2">
      <c r="B24" s="23" t="s">
        <v>31</v>
      </c>
      <c r="C24" s="23" t="s">
        <v>32</v>
      </c>
      <c r="D24" s="23" t="s">
        <v>33</v>
      </c>
      <c r="E24" s="26" t="s">
        <v>13</v>
      </c>
      <c r="F24" s="23" t="s">
        <v>34</v>
      </c>
      <c r="G24" s="23" t="s">
        <v>14</v>
      </c>
      <c r="H24" s="23" t="s">
        <v>12</v>
      </c>
      <c r="I24" s="23" t="s">
        <v>35</v>
      </c>
      <c r="J24" s="23" t="s">
        <v>36</v>
      </c>
      <c r="K24" s="23" t="s">
        <v>37</v>
      </c>
      <c r="L24" s="13" t="s">
        <v>38</v>
      </c>
      <c r="M24" s="13" t="s">
        <v>39</v>
      </c>
      <c r="N24" s="13" t="s">
        <v>40</v>
      </c>
      <c r="O24" s="13" t="s">
        <v>41</v>
      </c>
      <c r="P24" s="13" t="s">
        <v>42</v>
      </c>
      <c r="Q24" s="13" t="s">
        <v>43</v>
      </c>
      <c r="R24" s="13" t="s">
        <v>44</v>
      </c>
      <c r="S24" s="13" t="s">
        <v>45</v>
      </c>
      <c r="T24" s="13" t="s">
        <v>46</v>
      </c>
      <c r="U24" s="13" t="s">
        <v>47</v>
      </c>
      <c r="V24" s="13" t="s">
        <v>48</v>
      </c>
      <c r="W24" s="31" t="s">
        <v>49</v>
      </c>
      <c r="X24" s="31" t="s">
        <v>50</v>
      </c>
      <c r="Y24" s="31" t="s">
        <v>51</v>
      </c>
      <c r="Z24" s="31" t="s">
        <v>52</v>
      </c>
      <c r="AA24" s="31" t="s">
        <v>53</v>
      </c>
      <c r="AB24" s="31" t="s">
        <v>54</v>
      </c>
      <c r="AC24" s="31" t="s">
        <v>55</v>
      </c>
      <c r="AD24" s="31" t="s">
        <v>56</v>
      </c>
      <c r="AE24" s="31" t="s">
        <v>57</v>
      </c>
      <c r="AF24" s="31" t="s">
        <v>58</v>
      </c>
      <c r="AG24" s="31" t="s">
        <v>59</v>
      </c>
      <c r="AH24" s="31" t="s">
        <v>60</v>
      </c>
      <c r="AI24" s="31" t="s">
        <v>61</v>
      </c>
      <c r="AJ24" s="31" t="s">
        <v>62</v>
      </c>
      <c r="AL24" t="s">
        <v>63</v>
      </c>
    </row>
    <row r="25" spans="1:38" x14ac:dyDescent="0.2">
      <c r="B25" t="s">
        <v>64</v>
      </c>
      <c r="C25" t="s">
        <v>65</v>
      </c>
      <c r="D25" t="s">
        <v>243</v>
      </c>
      <c r="E25" s="20">
        <f>((Database[[#This Row],[Raw Score]]-MIN(Database[Raw Score]))/(MAX(Database[Raw Score])-MIN(Database[Raw Score])))*10</f>
        <v>10</v>
      </c>
      <c r="F25" s="34">
        <v>4.59</v>
      </c>
      <c r="G25" s="27" t="s">
        <v>17</v>
      </c>
      <c r="H25" s="28" t="s">
        <v>28</v>
      </c>
      <c r="I25" s="22">
        <v>200</v>
      </c>
      <c r="J25" s="37">
        <f>Database[[#This Row],[g]]/25</f>
        <v>31.76</v>
      </c>
      <c r="K25" s="38">
        <v>794</v>
      </c>
      <c r="L25" s="9">
        <f>IF(Database[[#This Row],[g]],Database[[#This Row],[C]]/Database[[#This Row],[Lb]],0)</f>
        <v>2856.3751259445844</v>
      </c>
      <c r="M25" s="9">
        <f>IF(Database[[#This Row],[$]], Database[[#This Row],[C]]/Database[[#This Row],[$]],0)</f>
        <v>1089.3246187363834</v>
      </c>
      <c r="N25" s="25">
        <f>IF(OR(ISBLANK(Database[[#This Row],[Air]]),ISBLANK(Database[[#This Row],[Flex]])),0,VLOOKUP(Database[[#This Row],[Flex]],FlexScore[],2,FALSE)+VLOOKUP(Database[[#This Row],[Air]],AirScore[],2,FALSE))</f>
        <v>4</v>
      </c>
      <c r="O25" s="25">
        <f>Database[[#This Row],[g]]/Database[[#This Row],[g/S]]</f>
        <v>25</v>
      </c>
      <c r="P25" s="42">
        <f>IF(Database[[#This Row],[g]],Database[[#This Row],[g]]/453.59237,0)</f>
        <v>1.750470361747928</v>
      </c>
      <c r="Q25" s="10">
        <f>Database[[#This Row],[Lb]]*16</f>
        <v>28.007525787966848</v>
      </c>
      <c r="R25" s="9">
        <f>IF(Database[[#This Row],[g]],(Database[[#This Row],[C/S]]/Database[[#This Row],[g/S]])*Database[[#This Row],[g]],0)</f>
        <v>5000</v>
      </c>
      <c r="S25" s="11">
        <f>_xlfn.NORM.DIST(Database[[#This Row],[C/Lb]],$L$127,$L$128,TRUE)</f>
        <v>0.90877083559181082</v>
      </c>
      <c r="T25" s="12">
        <f>_xlfn.NORM.DIST(Database[[#This Row],[Pack]],$N$127,$N$128,TRUE)</f>
        <v>0.2705690307561387</v>
      </c>
      <c r="U25" s="11">
        <f>_xlfn.NORM.DIST(Database[[#This Row],[C/$]],$M$127,$M$128,TRUE)</f>
        <v>0.99839879854233959</v>
      </c>
      <c r="V25" s="11">
        <f>Database[[#This Row],[C/Lb N]]*$F$14+Database[[#This Row],[C/$ N]]*$F$16+Database[[#This Row],[Pack N]]*$F$15</f>
        <v>8.9889594706901619</v>
      </c>
      <c r="W25" s="32">
        <v>0.21</v>
      </c>
      <c r="X25" s="32">
        <v>0.18</v>
      </c>
      <c r="Y25" s="32">
        <v>0</v>
      </c>
      <c r="Z25" s="32">
        <v>0.05</v>
      </c>
      <c r="AA25" s="33">
        <v>0.03</v>
      </c>
      <c r="AB25" s="32">
        <v>7.0000000000000007E-2</v>
      </c>
      <c r="AC25" s="32">
        <v>0.04</v>
      </c>
      <c r="AD25" s="32">
        <v>0.16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0.04</v>
      </c>
      <c r="AL25" t="s">
        <v>66</v>
      </c>
    </row>
    <row r="26" spans="1:38" x14ac:dyDescent="0.2">
      <c r="B26" t="s">
        <v>64</v>
      </c>
      <c r="C26" t="s">
        <v>67</v>
      </c>
      <c r="D26" t="s">
        <v>243</v>
      </c>
      <c r="E26" s="20">
        <f>((Database[[#This Row],[Raw Score]]-MIN(Database[Raw Score]))/(MAX(Database[Raw Score])-MIN(Database[Raw Score])))*10</f>
        <v>9.6703710964570249</v>
      </c>
      <c r="F26" s="21">
        <v>3.29</v>
      </c>
      <c r="G26" s="27" t="s">
        <v>17</v>
      </c>
      <c r="H26" s="28" t="s">
        <v>28</v>
      </c>
      <c r="I26" s="22">
        <v>200</v>
      </c>
      <c r="J26" s="37">
        <f>Database[[#This Row],[g]]/14</f>
        <v>33</v>
      </c>
      <c r="K26" s="38">
        <v>462</v>
      </c>
      <c r="L26" s="9">
        <f>IF(Database[[#This Row],[g]],Database[[#This Row],[C]]/Database[[#This Row],[Lb]],0)</f>
        <v>2749.0446666666667</v>
      </c>
      <c r="M26" s="9">
        <f>IF(Database[[#This Row],[$]], Database[[#This Row],[C]]/Database[[#This Row],[$]],0)</f>
        <v>851.063829787234</v>
      </c>
      <c r="N26" s="25">
        <f>IF(OR(ISBLANK(Database[[#This Row],[Air]]),ISBLANK(Database[[#This Row],[Flex]])),0,VLOOKUP(Database[[#This Row],[Flex]],FlexScore[],2,FALSE)+VLOOKUP(Database[[#This Row],[Air]],AirScore[],2,FALSE))</f>
        <v>4</v>
      </c>
      <c r="O26" s="25">
        <f>Database[[#This Row],[g]]/Database[[#This Row],[g/S]]</f>
        <v>14</v>
      </c>
      <c r="P26" s="42">
        <f>IF(Database[[#This Row],[g]],Database[[#This Row],[g]]/453.59237,0)</f>
        <v>1.0185356512941344</v>
      </c>
      <c r="Q26" s="10">
        <f>Database[[#This Row],[Lb]]*16</f>
        <v>16.29657042070615</v>
      </c>
      <c r="R26" s="9">
        <f>IF(Database[[#This Row],[g]],(Database[[#This Row],[C/S]]/Database[[#This Row],[g/S]])*Database[[#This Row],[g]],0)</f>
        <v>2800</v>
      </c>
      <c r="S26" s="11">
        <f>_xlfn.NORM.DIST(Database[[#This Row],[C/Lb]],$L$127,$L$128,TRUE)</f>
        <v>0.88034363723898512</v>
      </c>
      <c r="T26" s="12">
        <f>_xlfn.NORM.DIST(Database[[#This Row],[Pack]],$N$127,$N$128,TRUE)</f>
        <v>0.2705690307561387</v>
      </c>
      <c r="U26" s="11">
        <f>_xlfn.NORM.DIST(Database[[#This Row],[C/$]],$M$127,$M$128,TRUE)</f>
        <v>0.97946451845494986</v>
      </c>
      <c r="V26" s="11">
        <f>Database[[#This Row],[C/Lb N]]*$F$14+Database[[#This Row],[C/$ N]]*$F$16+Database[[#This Row],[Pack N]]*$F$15</f>
        <v>8.7615934403110387</v>
      </c>
      <c r="W26" s="32">
        <v>0.21</v>
      </c>
      <c r="X26" s="32">
        <v>0.18</v>
      </c>
      <c r="Y26" s="32">
        <v>0</v>
      </c>
      <c r="Z26" s="32">
        <v>0.05</v>
      </c>
      <c r="AA26" s="33">
        <v>0.03</v>
      </c>
      <c r="AB26" s="32">
        <v>7.0000000000000007E-2</v>
      </c>
      <c r="AC26" s="32">
        <v>0.04</v>
      </c>
      <c r="AD26" s="32">
        <v>0.16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0.04</v>
      </c>
      <c r="AL26" t="s">
        <v>242</v>
      </c>
    </row>
    <row r="27" spans="1:38" x14ac:dyDescent="0.2">
      <c r="B27" t="s">
        <v>68</v>
      </c>
      <c r="C27" t="s">
        <v>65</v>
      </c>
      <c r="D27" t="s">
        <v>243</v>
      </c>
      <c r="E27" s="20">
        <f>((Database[[#This Row],[Raw Score]]-MIN(Database[Raw Score]))/(MAX(Database[Raw Score])-MIN(Database[Raw Score])))*10</f>
        <v>9.6667927556555853</v>
      </c>
      <c r="F27" s="34">
        <v>3.59</v>
      </c>
      <c r="G27" s="27" t="s">
        <v>17</v>
      </c>
      <c r="H27" s="28" t="s">
        <v>28</v>
      </c>
      <c r="I27" s="22">
        <v>190</v>
      </c>
      <c r="J27" s="37">
        <f>Database[[#This Row],[g]]/25</f>
        <v>31.76</v>
      </c>
      <c r="K27" s="38">
        <v>794</v>
      </c>
      <c r="L27" s="9">
        <f>IF(Database[[#This Row],[g]],Database[[#This Row],[C]]/Database[[#This Row],[Lb]],0)</f>
        <v>2713.556369647355</v>
      </c>
      <c r="M27" s="9">
        <f>IF(Database[[#This Row],[$]], Database[[#This Row],[C]]/Database[[#This Row],[$]],0)</f>
        <v>1323.1197771587745</v>
      </c>
      <c r="N27" s="25">
        <f>IF(OR(ISBLANK(Database[[#This Row],[Air]]),ISBLANK(Database[[#This Row],[Flex]])),0,VLOOKUP(Database[[#This Row],[Flex]],FlexScore[],2,FALSE)+VLOOKUP(Database[[#This Row],[Air]],AirScore[],2,FALSE))</f>
        <v>4</v>
      </c>
      <c r="O27" s="25">
        <f>Database[[#This Row],[g]]/Database[[#This Row],[g/S]]</f>
        <v>25</v>
      </c>
      <c r="P27" s="42">
        <f>IF(Database[[#This Row],[g]],Database[[#This Row],[g]]/453.59237,0)</f>
        <v>1.750470361747928</v>
      </c>
      <c r="Q27" s="10">
        <f>Database[[#This Row],[Lb]]*16</f>
        <v>28.007525787966848</v>
      </c>
      <c r="R27" s="9">
        <f>IF(Database[[#This Row],[g]],(Database[[#This Row],[C/S]]/Database[[#This Row],[g/S]])*Database[[#This Row],[g]],0)</f>
        <v>4750</v>
      </c>
      <c r="S27" s="11">
        <f>_xlfn.NORM.DIST(Database[[#This Row],[C/Lb]],$L$127,$L$128,TRUE)</f>
        <v>0.86969586191698911</v>
      </c>
      <c r="T27" s="12">
        <f>_xlfn.NORM.DIST(Database[[#This Row],[Pack]],$N$127,$N$128,TRUE)</f>
        <v>0.2705690307561387</v>
      </c>
      <c r="U27" s="11">
        <f>_xlfn.NORM.DIST(Database[[#This Row],[C/$]],$M$127,$M$128,TRUE)</f>
        <v>0.99993733264731133</v>
      </c>
      <c r="V27" s="11">
        <f>Database[[#This Row],[C/Lb N]]*$F$14+Database[[#This Row],[C/$ N]]*$F$16+Database[[#This Row],[Pack N]]*$F$15</f>
        <v>8.7591252309561476</v>
      </c>
      <c r="W27" s="32">
        <v>0.19</v>
      </c>
      <c r="X27" s="32">
        <v>0.13</v>
      </c>
      <c r="Y27" s="32">
        <v>0</v>
      </c>
      <c r="Z27" s="32">
        <v>0.06</v>
      </c>
      <c r="AA27" s="32">
        <v>0.03</v>
      </c>
      <c r="AB27" s="32">
        <v>7.0000000000000007E-2</v>
      </c>
      <c r="AC27" s="32">
        <v>0.04</v>
      </c>
      <c r="AD27" s="32">
        <v>0.14000000000000001</v>
      </c>
      <c r="AE27" s="32">
        <v>0</v>
      </c>
      <c r="AF27" s="32">
        <v>0</v>
      </c>
      <c r="AG27" s="32">
        <v>0</v>
      </c>
      <c r="AH27" s="32">
        <v>0</v>
      </c>
      <c r="AI27" s="32">
        <v>0.04</v>
      </c>
      <c r="AJ27" s="32">
        <v>0.04</v>
      </c>
      <c r="AL27" t="s">
        <v>69</v>
      </c>
    </row>
    <row r="28" spans="1:38" x14ac:dyDescent="0.2">
      <c r="B28" t="s">
        <v>70</v>
      </c>
      <c r="C28" t="s">
        <v>65</v>
      </c>
      <c r="D28" t="s">
        <v>243</v>
      </c>
      <c r="E28" s="20">
        <f>((Database[[#This Row],[Raw Score]]-MIN(Database[Raw Score]))/(MAX(Database[Raw Score])-MIN(Database[Raw Score])))*10</f>
        <v>9.6187274604817983</v>
      </c>
      <c r="F28" s="34">
        <v>5.19</v>
      </c>
      <c r="G28" s="27" t="s">
        <v>17</v>
      </c>
      <c r="H28" s="28" t="s">
        <v>28</v>
      </c>
      <c r="I28" s="39">
        <v>190</v>
      </c>
      <c r="J28" s="37">
        <f>Database[[#This Row],[g]]/25</f>
        <v>31.76</v>
      </c>
      <c r="K28" s="38">
        <v>794</v>
      </c>
      <c r="L28" s="9">
        <f>IF(Database[[#This Row],[g]],Database[[#This Row],[C]]/Database[[#This Row],[Lb]],0)</f>
        <v>2713.556369647355</v>
      </c>
      <c r="M28" s="9">
        <f>IF(Database[[#This Row],[$]], Database[[#This Row],[C]]/Database[[#This Row],[$]],0)</f>
        <v>915.22157996146427</v>
      </c>
      <c r="N28" s="25">
        <f>IF(OR(ISBLANK(Database[[#This Row],[Air]]),ISBLANK(Database[[#This Row],[Flex]])),0,VLOOKUP(Database[[#This Row],[Flex]],FlexScore[],2,FALSE)+VLOOKUP(Database[[#This Row],[Air]],AirScore[],2,FALSE))</f>
        <v>4</v>
      </c>
      <c r="O28" s="25">
        <f>Database[[#This Row],[g]]/Database[[#This Row],[g/S]]</f>
        <v>25</v>
      </c>
      <c r="P28" s="42">
        <f>IF(Database[[#This Row],[g]],Database[[#This Row],[g]]/453.59237,0)</f>
        <v>1.750470361747928</v>
      </c>
      <c r="Q28" s="10">
        <f>Database[[#This Row],[Lb]]*16</f>
        <v>28.007525787966848</v>
      </c>
      <c r="R28" s="9">
        <f>IF(Database[[#This Row],[g]],(Database[[#This Row],[C/S]]/Database[[#This Row],[g/S]])*Database[[#This Row],[g]],0)</f>
        <v>4750</v>
      </c>
      <c r="S28" s="11">
        <f>_xlfn.NORM.DIST(Database[[#This Row],[C/Lb]],$L$127,$L$128,TRUE)</f>
        <v>0.86969586191698911</v>
      </c>
      <c r="T28" s="12">
        <f>_xlfn.NORM.DIST(Database[[#This Row],[Pack]],$N$127,$N$128,TRUE)</f>
        <v>0.2705690307561387</v>
      </c>
      <c r="U28" s="11">
        <f>_xlfn.NORM.DIST(Database[[#This Row],[C/$]],$M$127,$M$128,TRUE)</f>
        <v>0.98888610175786573</v>
      </c>
      <c r="V28" s="11">
        <f>Database[[#This Row],[C/Lb N]]*$F$14+Database[[#This Row],[C/$ N]]*$F$16+Database[[#This Row],[Pack N]]*$F$15</f>
        <v>8.7259715382878102</v>
      </c>
      <c r="W28" s="32">
        <v>0.21</v>
      </c>
      <c r="X28" s="32">
        <v>0.17</v>
      </c>
      <c r="Y28" s="32">
        <v>0</v>
      </c>
      <c r="Z28" s="32">
        <v>0.06</v>
      </c>
      <c r="AA28" s="32">
        <v>0.03</v>
      </c>
      <c r="AB28" s="32">
        <v>0.09</v>
      </c>
      <c r="AC28" s="32">
        <v>0.04</v>
      </c>
      <c r="AD28" s="32">
        <v>0.14000000000000001</v>
      </c>
      <c r="AE28" s="32">
        <v>0</v>
      </c>
      <c r="AF28" s="32">
        <v>0</v>
      </c>
      <c r="AG28" s="32">
        <v>0</v>
      </c>
      <c r="AH28" s="32">
        <v>0.02</v>
      </c>
      <c r="AI28" s="32">
        <v>0.02</v>
      </c>
      <c r="AJ28" s="32">
        <v>0.04</v>
      </c>
      <c r="AL28" t="s">
        <v>71</v>
      </c>
    </row>
    <row r="29" spans="1:38" x14ac:dyDescent="0.2">
      <c r="B29" t="s">
        <v>68</v>
      </c>
      <c r="C29" t="s">
        <v>72</v>
      </c>
      <c r="D29" t="s">
        <v>243</v>
      </c>
      <c r="E29" s="20">
        <f>((Database[[#This Row],[Raw Score]]-MIN(Database[Raw Score]))/(MAX(Database[Raw Score])-MIN(Database[Raw Score])))*10</f>
        <v>9.4252068830095688</v>
      </c>
      <c r="F29" s="21">
        <v>6.68</v>
      </c>
      <c r="G29" s="27" t="s">
        <v>17</v>
      </c>
      <c r="H29" s="27" t="s">
        <v>28</v>
      </c>
      <c r="I29" s="22">
        <v>120</v>
      </c>
      <c r="J29" s="37">
        <v>9.86</v>
      </c>
      <c r="K29" s="38">
        <v>241</v>
      </c>
      <c r="L29" s="9">
        <f>IF(Database[[#This Row],[g]],Database[[#This Row],[C]]/Database[[#This Row],[Lb]],0)</f>
        <v>5520.3939553752543</v>
      </c>
      <c r="M29" s="9">
        <f>IF(Database[[#This Row],[$]], Database[[#This Row],[C]]/Database[[#This Row],[$]],0)</f>
        <v>439.08126950966221</v>
      </c>
      <c r="N29" s="25">
        <f>IF(OR(ISBLANK(Database[[#This Row],[Air]]),ISBLANK(Database[[#This Row],[Flex]])),0,VLOOKUP(Database[[#This Row],[Flex]],FlexScore[],2,FALSE)+VLOOKUP(Database[[#This Row],[Air]],AirScore[],2,FALSE))</f>
        <v>4</v>
      </c>
      <c r="O29" s="25">
        <f>Database[[#This Row],[g]]/Database[[#This Row],[g/S]]</f>
        <v>24.442190669371197</v>
      </c>
      <c r="P29" s="42">
        <f>IF(Database[[#This Row],[g]],Database[[#This Row],[g]]/453.59237,0)</f>
        <v>0.53131405186555491</v>
      </c>
      <c r="Q29" s="10">
        <f>Database[[#This Row],[Lb]]*16</f>
        <v>8.5010248298488786</v>
      </c>
      <c r="R29" s="9">
        <f>IF(Database[[#This Row],[g]],(Database[[#This Row],[C/S]]/Database[[#This Row],[g/S]])*Database[[#This Row],[g]],0)</f>
        <v>2933.0628803245436</v>
      </c>
      <c r="S29" s="11">
        <f>_xlfn.NORM.DIST(Database[[#This Row],[C/Lb]],$L$127,$L$128,TRUE)</f>
        <v>0.99999990961697161</v>
      </c>
      <c r="T29" s="12">
        <f>_xlfn.NORM.DIST(Database[[#This Row],[Pack]],$N$127,$N$128,TRUE)</f>
        <v>0.2705690307561387</v>
      </c>
      <c r="U29" s="11">
        <f>_xlfn.NORM.DIST(Database[[#This Row],[C/$]],$M$127,$M$128,TRUE)</f>
        <v>0.68378352076758209</v>
      </c>
      <c r="V29" s="11">
        <f>Database[[#This Row],[C/Lb N]]*$F$14+Database[[#This Row],[C/$ N]]*$F$16+Database[[#This Row],[Pack N]]*$F$15</f>
        <v>8.5924880815168532</v>
      </c>
      <c r="W29" s="32">
        <v>0.18</v>
      </c>
      <c r="X29" s="32">
        <v>0.1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L29" t="s">
        <v>73</v>
      </c>
    </row>
    <row r="30" spans="1:38" x14ac:dyDescent="0.2">
      <c r="B30" t="s">
        <v>68</v>
      </c>
      <c r="C30" t="s">
        <v>67</v>
      </c>
      <c r="D30" t="s">
        <v>243</v>
      </c>
      <c r="E30" s="20">
        <f>((Database[[#This Row],[Raw Score]]-MIN(Database[Raw Score]))/(MAX(Database[Raw Score])-MIN(Database[Raw Score])))*10</f>
        <v>9.3686503670301633</v>
      </c>
      <c r="F30" s="21">
        <v>2.1800000000000002</v>
      </c>
      <c r="G30" s="27" t="s">
        <v>17</v>
      </c>
      <c r="H30" s="28" t="s">
        <v>28</v>
      </c>
      <c r="I30" s="22">
        <v>190</v>
      </c>
      <c r="J30" s="37">
        <f>Database[[#This Row],[g]]/14</f>
        <v>33</v>
      </c>
      <c r="K30" s="38">
        <v>462</v>
      </c>
      <c r="L30" s="9">
        <f>IF(Database[[#This Row],[g]],Database[[#This Row],[C]]/Database[[#This Row],[Lb]],0)</f>
        <v>2611.5924333333332</v>
      </c>
      <c r="M30" s="9">
        <f>IF(Database[[#This Row],[$]], Database[[#This Row],[C]]/Database[[#This Row],[$]],0)</f>
        <v>1220.1834862385319</v>
      </c>
      <c r="N30" s="25">
        <f>IF(OR(ISBLANK(Database[[#This Row],[Air]]),ISBLANK(Database[[#This Row],[Flex]])),0,VLOOKUP(Database[[#This Row],[Flex]],FlexScore[],2,FALSE)+VLOOKUP(Database[[#This Row],[Air]],AirScore[],2,FALSE))</f>
        <v>4</v>
      </c>
      <c r="O30" s="25">
        <f>Database[[#This Row],[g]]/Database[[#This Row],[g/S]]</f>
        <v>14</v>
      </c>
      <c r="P30" s="42">
        <f>IF(Database[[#This Row],[g]],Database[[#This Row],[g]]/453.59237,0)</f>
        <v>1.0185356512941344</v>
      </c>
      <c r="Q30" s="10">
        <f>Database[[#This Row],[Lb]]*16</f>
        <v>16.29657042070615</v>
      </c>
      <c r="R30" s="9">
        <f>IF(Database[[#This Row],[g]],(Database[[#This Row],[C/S]]/Database[[#This Row],[g/S]])*Database[[#This Row],[g]],0)</f>
        <v>2660</v>
      </c>
      <c r="S30" s="11">
        <f>_xlfn.NORM.DIST(Database[[#This Row],[C/Lb]],$L$127,$L$128,TRUE)</f>
        <v>0.83553290229362198</v>
      </c>
      <c r="T30" s="12">
        <f>_xlfn.NORM.DIST(Database[[#This Row],[Pack]],$N$127,$N$128,TRUE)</f>
        <v>0.2705690307561387</v>
      </c>
      <c r="U30" s="11">
        <f>_xlfn.NORM.DIST(Database[[#This Row],[C/$]],$M$127,$M$128,TRUE)</f>
        <v>0.99971399275150974</v>
      </c>
      <c r="V30" s="11">
        <f>Database[[#This Row],[C/Lb N]]*$F$14+Database[[#This Row],[C/$ N]]*$F$16+Database[[#This Row],[Pack N]]*$F$15</f>
        <v>8.5534774535285401</v>
      </c>
      <c r="W30" s="32">
        <v>0.19</v>
      </c>
      <c r="X30" s="32">
        <v>0.13</v>
      </c>
      <c r="Y30" s="32">
        <v>0</v>
      </c>
      <c r="Z30" s="32">
        <v>0.06</v>
      </c>
      <c r="AA30" s="32">
        <v>0.03</v>
      </c>
      <c r="AB30" s="32">
        <v>7.0000000000000007E-2</v>
      </c>
      <c r="AC30" s="32">
        <v>0.04</v>
      </c>
      <c r="AD30" s="32">
        <v>0.14000000000000001</v>
      </c>
      <c r="AE30" s="32">
        <v>0</v>
      </c>
      <c r="AF30" s="32">
        <v>0</v>
      </c>
      <c r="AG30" s="32">
        <v>0</v>
      </c>
      <c r="AH30" s="32">
        <v>0</v>
      </c>
      <c r="AI30" s="32">
        <v>0.04</v>
      </c>
      <c r="AJ30" s="32">
        <v>0.04</v>
      </c>
      <c r="AL30" t="s">
        <v>243</v>
      </c>
    </row>
    <row r="31" spans="1:38" x14ac:dyDescent="0.2">
      <c r="B31" t="s">
        <v>74</v>
      </c>
      <c r="C31" t="s">
        <v>75</v>
      </c>
      <c r="D31" t="s">
        <v>76</v>
      </c>
      <c r="E31" s="20">
        <f>((Database[[#This Row],[Raw Score]]-MIN(Database[Raw Score]))/(MAX(Database[Raw Score])-MIN(Database[Raw Score])))*10</f>
        <v>9.2211186367349178</v>
      </c>
      <c r="F31" s="21">
        <v>4.4800000000000004</v>
      </c>
      <c r="G31" s="27" t="s">
        <v>20</v>
      </c>
      <c r="H31" s="27" t="s">
        <v>26</v>
      </c>
      <c r="I31" s="22">
        <v>170</v>
      </c>
      <c r="J31" s="37">
        <v>28</v>
      </c>
      <c r="K31" s="38">
        <v>453</v>
      </c>
      <c r="L31" s="9">
        <f>IF(Database[[#This Row],[g]],Database[[#This Row],[C]]/Database[[#This Row],[Lb]],0)</f>
        <v>2753.9536750000002</v>
      </c>
      <c r="M31" s="9">
        <f>IF(Database[[#This Row],[$]], Database[[#This Row],[C]]/Database[[#This Row],[$]],0)</f>
        <v>613.91900510204073</v>
      </c>
      <c r="N31" s="25">
        <f>IF(OR(ISBLANK(Database[[#This Row],[Air]]),ISBLANK(Database[[#This Row],[Flex]])),0,VLOOKUP(Database[[#This Row],[Flex]],FlexScore[],2,FALSE)+VLOOKUP(Database[[#This Row],[Air]],AirScore[],2,FALSE))</f>
        <v>4</v>
      </c>
      <c r="O31" s="25">
        <f>Database[[#This Row],[g]]/Database[[#This Row],[g/S]]</f>
        <v>16.178571428571427</v>
      </c>
      <c r="P31" s="42">
        <f>IF(Database[[#This Row],[g]],Database[[#This Row],[g]]/453.59237,0)</f>
        <v>0.99869404769749537</v>
      </c>
      <c r="Q31" s="10">
        <f>Database[[#This Row],[Lb]]*16</f>
        <v>15.979104763159926</v>
      </c>
      <c r="R31" s="9">
        <f>IF(Database[[#This Row],[g]],(Database[[#This Row],[C/S]]/Database[[#This Row],[g/S]])*Database[[#This Row],[g]],0)</f>
        <v>2750.3571428571427</v>
      </c>
      <c r="S31" s="11">
        <f>_xlfn.NORM.DIST(Database[[#This Row],[C/Lb]],$L$127,$L$128,TRUE)</f>
        <v>0.88176675890444722</v>
      </c>
      <c r="T31" s="12">
        <f>_xlfn.NORM.DIST(Database[[#This Row],[Pack]],$N$127,$N$128,TRUE)</f>
        <v>0.2705690307561387</v>
      </c>
      <c r="U31" s="11">
        <f>_xlfn.NORM.DIST(Database[[#This Row],[C/$]],$M$127,$M$128,TRUE)</f>
        <v>0.87332560539029069</v>
      </c>
      <c r="V31" s="11">
        <f>Database[[#This Row],[C/Lb N]]*$F$14+Database[[#This Row],[C/$ N]]*$F$16+Database[[#This Row],[Pack N]]*$F$15</f>
        <v>8.4517154311098341</v>
      </c>
      <c r="W31" s="32">
        <v>0.18</v>
      </c>
      <c r="X31" s="32">
        <v>0.1</v>
      </c>
      <c r="Y31" s="32">
        <v>0</v>
      </c>
      <c r="Z31" s="32">
        <v>0.04</v>
      </c>
      <c r="AA31" s="32">
        <v>0.02</v>
      </c>
      <c r="AB31" s="32">
        <v>0.09</v>
      </c>
      <c r="AC31" s="32">
        <v>0</v>
      </c>
      <c r="AD31" s="32">
        <v>0.14000000000000001</v>
      </c>
      <c r="AE31" s="32">
        <v>0</v>
      </c>
      <c r="AF31" s="32">
        <v>0</v>
      </c>
      <c r="AG31" s="32">
        <v>0</v>
      </c>
      <c r="AH31" s="32">
        <v>0.02</v>
      </c>
      <c r="AI31" s="32">
        <v>0.04</v>
      </c>
      <c r="AJ31" s="32">
        <v>0.04</v>
      </c>
      <c r="AL31" t="s">
        <v>77</v>
      </c>
    </row>
    <row r="32" spans="1:38" x14ac:dyDescent="0.2">
      <c r="B32" t="s">
        <v>78</v>
      </c>
      <c r="C32" t="s">
        <v>67</v>
      </c>
      <c r="D32" t="s">
        <v>243</v>
      </c>
      <c r="E32" s="20">
        <f>((Database[[#This Row],[Raw Score]]-MIN(Database[Raw Score]))/(MAX(Database[Raw Score])-MIN(Database[Raw Score])))*10</f>
        <v>9.1550525747428306</v>
      </c>
      <c r="F32" s="21">
        <v>2.5299999999999998</v>
      </c>
      <c r="G32" s="27" t="s">
        <v>17</v>
      </c>
      <c r="H32" s="27" t="s">
        <v>28</v>
      </c>
      <c r="I32" s="22">
        <v>180</v>
      </c>
      <c r="J32" s="37">
        <v>32</v>
      </c>
      <c r="K32" s="38">
        <v>454</v>
      </c>
      <c r="L32" s="9">
        <f>IF(Database[[#This Row],[g]],Database[[#This Row],[C]]/Database[[#This Row],[Lb]],0)</f>
        <v>2551.4570812500001</v>
      </c>
      <c r="M32" s="9">
        <f>IF(Database[[#This Row],[$]], Database[[#This Row],[C]]/Database[[#This Row],[$]],0)</f>
        <v>1009.3873517786562</v>
      </c>
      <c r="N32" s="25">
        <f>IF(OR(ISBLANK(Database[[#This Row],[Air]]),ISBLANK(Database[[#This Row],[Flex]])),0,VLOOKUP(Database[[#This Row],[Flex]],FlexScore[],2,FALSE)+VLOOKUP(Database[[#This Row],[Air]],AirScore[],2,FALSE))</f>
        <v>4</v>
      </c>
      <c r="O32" s="25">
        <f>Database[[#This Row],[g]]/Database[[#This Row],[g/S]]</f>
        <v>14.1875</v>
      </c>
      <c r="P32" s="42">
        <f>IF(Database[[#This Row],[g]],Database[[#This Row],[g]]/453.59237,0)</f>
        <v>1.0008986703193441</v>
      </c>
      <c r="Q32" s="10">
        <f>Database[[#This Row],[Lb]]*16</f>
        <v>16.014378725109506</v>
      </c>
      <c r="R32" s="9">
        <f>IF(Database[[#This Row],[g]],(Database[[#This Row],[C/S]]/Database[[#This Row],[g/S]])*Database[[#This Row],[g]],0)</f>
        <v>2553.75</v>
      </c>
      <c r="S32" s="11">
        <f>_xlfn.NORM.DIST(Database[[#This Row],[C/Lb]],$L$127,$L$128,TRUE)</f>
        <v>0.81288259327118817</v>
      </c>
      <c r="T32" s="12">
        <f>_xlfn.NORM.DIST(Database[[#This Row],[Pack]],$N$127,$N$128,TRUE)</f>
        <v>0.2705690307561387</v>
      </c>
      <c r="U32" s="11">
        <f>_xlfn.NORM.DIST(Database[[#This Row],[C/$]],$M$127,$M$128,TRUE)</f>
        <v>0.995903947655573</v>
      </c>
      <c r="V32" s="11">
        <f>Database[[#This Row],[C/Lb N]]*$F$14+Database[[#This Row],[C/$ N]]*$F$16+Database[[#This Row],[Pack N]]*$F$15</f>
        <v>8.4061454641061264</v>
      </c>
      <c r="W32" s="32">
        <v>0.19</v>
      </c>
      <c r="X32" s="32">
        <v>0.15</v>
      </c>
      <c r="Y32" s="32">
        <v>0</v>
      </c>
      <c r="Z32" s="32">
        <v>0.06</v>
      </c>
      <c r="AA32" s="32">
        <v>0.03</v>
      </c>
      <c r="AB32" s="32">
        <v>7.0000000000000007E-2</v>
      </c>
      <c r="AC32" s="32">
        <v>0.04</v>
      </c>
      <c r="AD32" s="32">
        <v>0.14000000000000001</v>
      </c>
      <c r="AE32" s="32">
        <v>0</v>
      </c>
      <c r="AF32" s="32">
        <v>0</v>
      </c>
      <c r="AG32" s="32">
        <v>0</v>
      </c>
      <c r="AH32" s="32">
        <v>0.02</v>
      </c>
      <c r="AI32" s="32">
        <v>0.02</v>
      </c>
      <c r="AJ32" s="32">
        <v>0.04</v>
      </c>
      <c r="AL32" t="s">
        <v>79</v>
      </c>
    </row>
    <row r="33" spans="2:38" x14ac:dyDescent="0.2">
      <c r="B33" t="s">
        <v>70</v>
      </c>
      <c r="C33" t="s">
        <v>67</v>
      </c>
      <c r="D33" t="s">
        <v>243</v>
      </c>
      <c r="E33" s="20">
        <f>((Database[[#This Row],[Raw Score]]-MIN(Database[Raw Score]))/(MAX(Database[Raw Score])-MIN(Database[Raw Score])))*10</f>
        <v>9.1542299022261524</v>
      </c>
      <c r="F33" s="21">
        <v>3.49</v>
      </c>
      <c r="G33" s="27" t="s">
        <v>17</v>
      </c>
      <c r="H33" s="28" t="s">
        <v>28</v>
      </c>
      <c r="I33" s="39">
        <v>190</v>
      </c>
      <c r="J33" s="37">
        <v>33</v>
      </c>
      <c r="K33" s="38">
        <v>453</v>
      </c>
      <c r="L33" s="9">
        <f>IF(Database[[#This Row],[g]],Database[[#This Row],[C]]/Database[[#This Row],[Lb]],0)</f>
        <v>2611.5924333333337</v>
      </c>
      <c r="M33" s="9">
        <f>IF(Database[[#This Row],[$]], Database[[#This Row],[C]]/Database[[#This Row],[$]],0)</f>
        <v>747.33003386298515</v>
      </c>
      <c r="N33" s="25">
        <f>IF(OR(ISBLANK(Database[[#This Row],[Air]]),ISBLANK(Database[[#This Row],[Flex]])),0,VLOOKUP(Database[[#This Row],[Flex]],FlexScore[],2,FALSE)+VLOOKUP(Database[[#This Row],[Air]],AirScore[],2,FALSE))</f>
        <v>4</v>
      </c>
      <c r="O33" s="25">
        <f>Database[[#This Row],[g]]/Database[[#This Row],[g/S]]</f>
        <v>13.727272727272727</v>
      </c>
      <c r="P33" s="42">
        <f>IF(Database[[#This Row],[g]],Database[[#This Row],[g]]/453.59237,0)</f>
        <v>0.99869404769749537</v>
      </c>
      <c r="Q33" s="10">
        <f>Database[[#This Row],[Lb]]*16</f>
        <v>15.979104763159926</v>
      </c>
      <c r="R33" s="9">
        <f>IF(Database[[#This Row],[g]],(Database[[#This Row],[C/S]]/Database[[#This Row],[g/S]])*Database[[#This Row],[g]],0)</f>
        <v>2608.1818181818185</v>
      </c>
      <c r="S33" s="11">
        <f>_xlfn.NORM.DIST(Database[[#This Row],[C/Lb]],$L$127,$L$128,TRUE)</f>
        <v>0.8355329022936222</v>
      </c>
      <c r="T33" s="12">
        <f>_xlfn.NORM.DIST(Database[[#This Row],[Pack]],$N$127,$N$128,TRUE)</f>
        <v>0.2705690307561387</v>
      </c>
      <c r="U33" s="11">
        <f>_xlfn.NORM.DIST(Database[[#This Row],[C/$]],$M$127,$M$128,TRUE)</f>
        <v>0.95041417974913933</v>
      </c>
      <c r="V33" s="11">
        <f>Database[[#This Row],[C/Lb N]]*$F$14+Database[[#This Row],[C/$ N]]*$F$16+Database[[#This Row],[Pack N]]*$F$15</f>
        <v>8.4055780145214296</v>
      </c>
      <c r="W33" s="32">
        <v>0.21</v>
      </c>
      <c r="X33" s="32">
        <v>0.17</v>
      </c>
      <c r="Y33" s="32">
        <v>0</v>
      </c>
      <c r="Z33" s="32">
        <v>0.06</v>
      </c>
      <c r="AA33" s="32">
        <v>0.03</v>
      </c>
      <c r="AB33" s="32">
        <v>0.09</v>
      </c>
      <c r="AC33" s="32">
        <v>0.04</v>
      </c>
      <c r="AD33" s="32">
        <v>0.14000000000000001</v>
      </c>
      <c r="AE33" s="32">
        <v>0</v>
      </c>
      <c r="AF33" s="32">
        <v>0</v>
      </c>
      <c r="AG33" s="32">
        <v>0</v>
      </c>
      <c r="AH33" s="32">
        <v>0.02</v>
      </c>
      <c r="AI33" s="32">
        <v>0.02</v>
      </c>
      <c r="AJ33" s="32">
        <v>0.04</v>
      </c>
      <c r="AL33" t="s">
        <v>80</v>
      </c>
    </row>
    <row r="34" spans="2:38" x14ac:dyDescent="0.2">
      <c r="B34" t="s">
        <v>81</v>
      </c>
      <c r="C34" t="s">
        <v>82</v>
      </c>
      <c r="D34" t="s">
        <v>242</v>
      </c>
      <c r="E34" s="20">
        <f>((Database[[#This Row],[Raw Score]]-MIN(Database[Raw Score]))/(MAX(Database[Raw Score])-MIN(Database[Raw Score])))*10</f>
        <v>8.7019449047696078</v>
      </c>
      <c r="F34" s="21">
        <v>2.5</v>
      </c>
      <c r="G34" s="27" t="s">
        <v>17</v>
      </c>
      <c r="H34" s="27" t="s">
        <v>28</v>
      </c>
      <c r="I34" s="22">
        <v>310</v>
      </c>
      <c r="J34" s="37">
        <f>Database[[#This Row],[g]]/6</f>
        <v>56.666666666666664</v>
      </c>
      <c r="K34" s="38">
        <v>340</v>
      </c>
      <c r="L34" s="9">
        <f>IF(Database[[#This Row],[g]],Database[[#This Row],[C]]/Database[[#This Row],[Lb]],0)</f>
        <v>2481.4170829411769</v>
      </c>
      <c r="M34" s="9">
        <f>IF(Database[[#This Row],[$]], Database[[#This Row],[C]]/Database[[#This Row],[$]],0)</f>
        <v>744</v>
      </c>
      <c r="N34" s="25">
        <f>IF(OR(ISBLANK(Database[[#This Row],[Air]]),ISBLANK(Database[[#This Row],[Flex]])),0,VLOOKUP(Database[[#This Row],[Flex]],FlexScore[],2,FALSE)+VLOOKUP(Database[[#This Row],[Air]],AirScore[],2,FALSE))</f>
        <v>4</v>
      </c>
      <c r="O34" s="25">
        <f>Database[[#This Row],[g]]/Database[[#This Row],[g/S]]</f>
        <v>6</v>
      </c>
      <c r="P34" s="42">
        <f>IF(Database[[#This Row],[g]],Database[[#This Row],[g]]/453.59237,0)</f>
        <v>0.74957169142858371</v>
      </c>
      <c r="Q34" s="10">
        <f>Database[[#This Row],[Lb]]*16</f>
        <v>11.993147062857339</v>
      </c>
      <c r="R34" s="9">
        <f>IF(Database[[#This Row],[g]],(Database[[#This Row],[C/S]]/Database[[#This Row],[g/S]])*Database[[#This Row],[g]],0)</f>
        <v>1860</v>
      </c>
      <c r="S34" s="11">
        <f>_xlfn.NORM.DIST(Database[[#This Row],[C/Lb]],$L$127,$L$128,TRUE)</f>
        <v>0.78419253384691379</v>
      </c>
      <c r="T34" s="12">
        <f>_xlfn.NORM.DIST(Database[[#This Row],[Pack]],$N$127,$N$128,TRUE)</f>
        <v>0.2705690307561387</v>
      </c>
      <c r="U34" s="11">
        <f>_xlfn.NORM.DIST(Database[[#This Row],[C/$]],$M$127,$M$128,TRUE)</f>
        <v>0.94910500215950644</v>
      </c>
      <c r="V34" s="11">
        <f>Database[[#This Row],[C/Lb N]]*$F$14+Database[[#This Row],[C/$ N]]*$F$16+Database[[#This Row],[Pack N]]*$F$15</f>
        <v>8.093608271072279</v>
      </c>
      <c r="W34" s="32">
        <v>0.23</v>
      </c>
      <c r="X34" s="32">
        <v>0.4</v>
      </c>
      <c r="Y34" s="32">
        <v>0</v>
      </c>
      <c r="Z34" s="32">
        <v>0.05</v>
      </c>
      <c r="AA34" s="32">
        <v>0.12</v>
      </c>
      <c r="AB34" s="32">
        <v>0.04</v>
      </c>
      <c r="AC34" s="32">
        <v>0.38</v>
      </c>
      <c r="AD34" s="32">
        <v>0.08</v>
      </c>
      <c r="AE34" s="32">
        <v>0</v>
      </c>
      <c r="AF34" s="32">
        <v>0</v>
      </c>
      <c r="AG34" s="32">
        <v>0</v>
      </c>
      <c r="AH34" s="32">
        <v>0</v>
      </c>
      <c r="AI34" s="32">
        <v>0.06</v>
      </c>
      <c r="AJ34" s="32">
        <v>0.02</v>
      </c>
      <c r="AL34" t="s">
        <v>83</v>
      </c>
    </row>
    <row r="35" spans="2:38" x14ac:dyDescent="0.2">
      <c r="B35" t="s">
        <v>84</v>
      </c>
      <c r="C35" t="s">
        <v>85</v>
      </c>
      <c r="D35" t="s">
        <v>86</v>
      </c>
      <c r="E35" s="20">
        <f>((Database[[#This Row],[Raw Score]]-MIN(Database[Raw Score]))/(MAX(Database[Raw Score])-MIN(Database[Raw Score])))*10</f>
        <v>8.6311589832412583</v>
      </c>
      <c r="F35" s="34">
        <v>11.95</v>
      </c>
      <c r="G35" s="27" t="s">
        <v>17</v>
      </c>
      <c r="H35" s="30" t="s">
        <v>16</v>
      </c>
      <c r="I35" s="40">
        <v>70</v>
      </c>
      <c r="J35" s="37">
        <f>Database[[#This Row],[g]]/12</f>
        <v>10.666666666666666</v>
      </c>
      <c r="K35" s="38">
        <v>128</v>
      </c>
      <c r="L35" s="9">
        <f>IF(Database[[#This Row],[g]],Database[[#This Row],[C]]/Database[[#This Row],[Lb]],0)</f>
        <v>2976.699928125</v>
      </c>
      <c r="M35" s="9">
        <f>IF(Database[[#This Row],[$]], Database[[#This Row],[C]]/Database[[#This Row],[$]],0)</f>
        <v>70.292887029288707</v>
      </c>
      <c r="N35" s="25">
        <f>IF(OR(ISBLANK(Database[[#This Row],[Air]]),ISBLANK(Database[[#This Row],[Flex]])),0,VLOOKUP(Database[[#This Row],[Flex]],FlexScore[],2,FALSE)+VLOOKUP(Database[[#This Row],[Air]],AirScore[],2,FALSE))</f>
        <v>8</v>
      </c>
      <c r="O35" s="25">
        <f>Database[[#This Row],[g]]/Database[[#This Row],[g/S]]</f>
        <v>12</v>
      </c>
      <c r="P35" s="42">
        <f>IF(Database[[#This Row],[g]],Database[[#This Row],[g]]/453.59237,0)</f>
        <v>0.28219169559664331</v>
      </c>
      <c r="Q35" s="10">
        <f>Database[[#This Row],[Lb]]*16</f>
        <v>4.515067129546293</v>
      </c>
      <c r="R35" s="9">
        <f>IF(Database[[#This Row],[g]],(Database[[#This Row],[C/S]]/Database[[#This Row],[g/S]])*Database[[#This Row],[g]],0)</f>
        <v>840</v>
      </c>
      <c r="S35" s="11">
        <f>_xlfn.NORM.DIST(Database[[#This Row],[C/Lb]],$L$127,$L$128,TRUE)</f>
        <v>0.93431109691371617</v>
      </c>
      <c r="T35" s="12">
        <f>_xlfn.NORM.DIST(Database[[#This Row],[Pack]],$N$127,$N$128,TRUE)</f>
        <v>0.95212895676000608</v>
      </c>
      <c r="U35" s="11">
        <f>_xlfn.NORM.DIST(Database[[#This Row],[C/$]],$M$127,$M$128,TRUE)</f>
        <v>0.17821940720018734</v>
      </c>
      <c r="V35" s="11">
        <f>Database[[#This Row],[C/Lb N]]*$F$14+Database[[#This Row],[C/$ N]]*$F$16+Database[[#This Row],[Pack N]]*$F$15</f>
        <v>8.0447827166028709</v>
      </c>
      <c r="W35" s="32">
        <v>0.06</v>
      </c>
      <c r="X35" s="32">
        <v>0.08</v>
      </c>
      <c r="Y35" s="32">
        <v>0.62</v>
      </c>
      <c r="Z35" s="32">
        <v>0.03</v>
      </c>
      <c r="AA35" s="32">
        <v>0</v>
      </c>
      <c r="AB35" s="32">
        <v>0</v>
      </c>
      <c r="AC35" s="32">
        <v>0</v>
      </c>
      <c r="AD35" s="32">
        <v>0.12</v>
      </c>
      <c r="AE35" s="32">
        <v>0</v>
      </c>
      <c r="AF35" s="32">
        <v>0</v>
      </c>
      <c r="AG35" s="32">
        <v>0.04</v>
      </c>
      <c r="AH35" s="32">
        <v>0.02</v>
      </c>
      <c r="AI35" s="32">
        <v>0.04</v>
      </c>
      <c r="AJ35" s="32">
        <v>0.02</v>
      </c>
      <c r="AL35" t="s">
        <v>76</v>
      </c>
    </row>
    <row r="36" spans="2:38" x14ac:dyDescent="0.2">
      <c r="B36" t="s">
        <v>87</v>
      </c>
      <c r="C36" t="s">
        <v>88</v>
      </c>
      <c r="D36" t="s">
        <v>243</v>
      </c>
      <c r="E36" s="20">
        <f>((Database[[#This Row],[Raw Score]]-MIN(Database[Raw Score]))/(MAX(Database[Raw Score])-MIN(Database[Raw Score])))*10</f>
        <v>8.4495827874849621</v>
      </c>
      <c r="F36" s="21">
        <v>4.99</v>
      </c>
      <c r="G36" s="27" t="s">
        <v>17</v>
      </c>
      <c r="H36" s="27" t="s">
        <v>28</v>
      </c>
      <c r="I36" s="39">
        <v>100</v>
      </c>
      <c r="J36" s="37">
        <v>14</v>
      </c>
      <c r="K36" s="38">
        <v>227</v>
      </c>
      <c r="L36" s="9">
        <f>IF(Database[[#This Row],[g]],Database[[#This Row],[C]]/Database[[#This Row],[Lb]],0)</f>
        <v>3239.9455000000007</v>
      </c>
      <c r="M36" s="9">
        <f>IF(Database[[#This Row],[$]], Database[[#This Row],[C]]/Database[[#This Row],[$]],0)</f>
        <v>324.93558545662756</v>
      </c>
      <c r="N36" s="25">
        <f>IF(OR(ISBLANK(Database[[#This Row],[Air]]),ISBLANK(Database[[#This Row],[Flex]])),0,VLOOKUP(Database[[#This Row],[Flex]],FlexScore[],2,FALSE)+VLOOKUP(Database[[#This Row],[Air]],AirScore[],2,FALSE))</f>
        <v>4</v>
      </c>
      <c r="O36" s="25">
        <f>Database[[#This Row],[g]]/Database[[#This Row],[g/S]]</f>
        <v>16.214285714285715</v>
      </c>
      <c r="P36" s="42">
        <f>IF(Database[[#This Row],[g]],Database[[#This Row],[g]]/453.59237,0)</f>
        <v>0.50044933515967205</v>
      </c>
      <c r="Q36" s="10">
        <f>Database[[#This Row],[Lb]]*16</f>
        <v>8.0071893625547528</v>
      </c>
      <c r="R36" s="9">
        <f>IF(Database[[#This Row],[g]],(Database[[#This Row],[C/S]]/Database[[#This Row],[g/S]])*Database[[#This Row],[g]],0)</f>
        <v>1621.4285714285716</v>
      </c>
      <c r="S36" s="11">
        <f>_xlfn.NORM.DIST(Database[[#This Row],[C/Lb]],$L$127,$L$128,TRUE)</f>
        <v>0.97079285179845853</v>
      </c>
      <c r="T36" s="12">
        <f>_xlfn.NORM.DIST(Database[[#This Row],[Pack]],$N$127,$N$128,TRUE)</f>
        <v>0.2705690307561387</v>
      </c>
      <c r="U36" s="11">
        <f>_xlfn.NORM.DIST(Database[[#This Row],[C/$]],$M$127,$M$128,TRUE)</f>
        <v>0.51788096255571592</v>
      </c>
      <c r="V36" s="11">
        <f>Database[[#This Row],[C/Lb N]]*$F$14+Database[[#This Row],[C/$ N]]*$F$16+Database[[#This Row],[Pack N]]*$F$15</f>
        <v>7.9195380599701757</v>
      </c>
      <c r="W36" s="32">
        <v>0.14000000000000001</v>
      </c>
      <c r="X36" s="32">
        <v>0.37</v>
      </c>
      <c r="Y36" s="32">
        <v>0.1</v>
      </c>
      <c r="Z36" s="32">
        <v>0.04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L36" t="s">
        <v>89</v>
      </c>
    </row>
    <row r="37" spans="2:38" x14ac:dyDescent="0.2">
      <c r="B37" t="s">
        <v>90</v>
      </c>
      <c r="C37" t="s">
        <v>85</v>
      </c>
      <c r="D37" t="s">
        <v>86</v>
      </c>
      <c r="E37" s="20">
        <f>((Database[[#This Row],[Raw Score]]-MIN(Database[Raw Score]))/(MAX(Database[Raw Score])-MIN(Database[Raw Score])))*10</f>
        <v>8.1240154438569565</v>
      </c>
      <c r="F37" s="34">
        <v>27.99</v>
      </c>
      <c r="G37" s="27" t="s">
        <v>17</v>
      </c>
      <c r="H37" s="30" t="s">
        <v>16</v>
      </c>
      <c r="I37" s="40">
        <v>89</v>
      </c>
      <c r="J37" s="37">
        <v>15</v>
      </c>
      <c r="K37" s="38">
        <v>453</v>
      </c>
      <c r="L37" s="9">
        <f>IF(Database[[#This Row],[g]],Database[[#This Row],[C]]/Database[[#This Row],[Lb]],0)</f>
        <v>2691.3147286666672</v>
      </c>
      <c r="M37" s="9">
        <f>IF(Database[[#This Row],[$]], Database[[#This Row],[C]]/Database[[#This Row],[$]],0)</f>
        <v>96.027152554483763</v>
      </c>
      <c r="N37" s="25">
        <f>IF(OR(ISBLANK(Database[[#This Row],[Air]]),ISBLANK(Database[[#This Row],[Flex]])),0,VLOOKUP(Database[[#This Row],[Flex]],FlexScore[],2,FALSE)+VLOOKUP(Database[[#This Row],[Air]],AirScore[],2,FALSE))</f>
        <v>8</v>
      </c>
      <c r="O37" s="25">
        <f>Database[[#This Row],[g]]/Database[[#This Row],[g/S]]</f>
        <v>30.2</v>
      </c>
      <c r="P37" s="42">
        <f>IF(Database[[#This Row],[g]],Database[[#This Row],[g]]/453.59237,0)</f>
        <v>0.99869404769749537</v>
      </c>
      <c r="Q37" s="10">
        <f>Database[[#This Row],[Lb]]*16</f>
        <v>15.979104763159926</v>
      </c>
      <c r="R37" s="9">
        <f>IF(Database[[#This Row],[g]],(Database[[#This Row],[C/S]]/Database[[#This Row],[g/S]])*Database[[#This Row],[g]],0)</f>
        <v>2687.8</v>
      </c>
      <c r="S37" s="11">
        <f>_xlfn.NORM.DIST(Database[[#This Row],[C/Lb]],$L$127,$L$128,TRUE)</f>
        <v>0.86269772297651626</v>
      </c>
      <c r="T37" s="12">
        <f>_xlfn.NORM.DIST(Database[[#This Row],[Pack]],$N$127,$N$128,TRUE)</f>
        <v>0.95212895676000608</v>
      </c>
      <c r="U37" s="11">
        <f>_xlfn.NORM.DIST(Database[[#This Row],[C/$]],$M$127,$M$128,TRUE)</f>
        <v>0.20484309817953303</v>
      </c>
      <c r="V37" s="11">
        <f>Database[[#This Row],[C/Lb N]]*$F$14+Database[[#This Row],[C/$ N]]*$F$16+Database[[#This Row],[Pack N]]*$F$15</f>
        <v>7.6949735459177084</v>
      </c>
      <c r="W37" s="32">
        <v>0.08</v>
      </c>
      <c r="X37" s="32">
        <v>0.11</v>
      </c>
      <c r="Y37" s="32">
        <v>0.82</v>
      </c>
      <c r="Z37" s="32">
        <v>0.03</v>
      </c>
      <c r="AA37" s="32">
        <v>0</v>
      </c>
      <c r="AB37" s="32">
        <v>0</v>
      </c>
      <c r="AC37" s="32">
        <v>0</v>
      </c>
      <c r="AD37" s="32">
        <v>0.14000000000000001</v>
      </c>
      <c r="AE37" s="32">
        <v>0</v>
      </c>
      <c r="AF37" s="32">
        <v>0</v>
      </c>
      <c r="AG37" s="32">
        <v>0.06</v>
      </c>
      <c r="AH37" s="32">
        <v>0.03</v>
      </c>
      <c r="AI37" s="32">
        <v>0.06</v>
      </c>
      <c r="AJ37" s="32">
        <v>0.02</v>
      </c>
      <c r="AL37" t="s">
        <v>86</v>
      </c>
    </row>
    <row r="38" spans="2:38" x14ac:dyDescent="0.2">
      <c r="B38" t="s">
        <v>68</v>
      </c>
      <c r="C38" t="s">
        <v>91</v>
      </c>
      <c r="D38" t="s">
        <v>76</v>
      </c>
      <c r="E38" s="20">
        <f>((Database[[#This Row],[Raw Score]]-MIN(Database[Raw Score]))/(MAX(Database[Raw Score])-MIN(Database[Raw Score])))*10</f>
        <v>8.0261630890408178</v>
      </c>
      <c r="F38" s="34">
        <v>1.89</v>
      </c>
      <c r="G38" s="27" t="s">
        <v>20</v>
      </c>
      <c r="H38" s="30" t="s">
        <v>26</v>
      </c>
      <c r="I38" s="40">
        <v>180</v>
      </c>
      <c r="J38" s="37">
        <f>Database[[#This Row],[g]]/3.5</f>
        <v>28.285714285714285</v>
      </c>
      <c r="K38" s="38">
        <v>99</v>
      </c>
      <c r="L38" s="9">
        <f>IF(Database[[#This Row],[g]],Database[[#This Row],[C]]/Database[[#This Row],[Lb]],0)</f>
        <v>2886.4969000000001</v>
      </c>
      <c r="M38" s="9">
        <f>IF(Database[[#This Row],[$]], Database[[#This Row],[C]]/Database[[#This Row],[$]],0)</f>
        <v>333.33333333333337</v>
      </c>
      <c r="N38" s="25">
        <f>IF(OR(ISBLANK(Database[[#This Row],[Air]]),ISBLANK(Database[[#This Row],[Flex]])),0,VLOOKUP(Database[[#This Row],[Flex]],FlexScore[],2,FALSE)+VLOOKUP(Database[[#This Row],[Air]],AirScore[],2,FALSE))</f>
        <v>4</v>
      </c>
      <c r="O38" s="25">
        <f>Database[[#This Row],[g]]/Database[[#This Row],[g/S]]</f>
        <v>3.5</v>
      </c>
      <c r="P38" s="42">
        <f>IF(Database[[#This Row],[g]],Database[[#This Row],[g]]/453.59237,0)</f>
        <v>0.21825763956302879</v>
      </c>
      <c r="Q38" s="10">
        <f>Database[[#This Row],[Lb]]*16</f>
        <v>3.4921222330084607</v>
      </c>
      <c r="R38" s="9">
        <f>IF(Database[[#This Row],[g]],(Database[[#This Row],[C/S]]/Database[[#This Row],[g/S]])*Database[[#This Row],[g]],0)</f>
        <v>630</v>
      </c>
      <c r="S38" s="11">
        <f>_xlfn.NORM.DIST(Database[[#This Row],[C/Lb]],$L$127,$L$128,TRUE)</f>
        <v>0.9157670346741611</v>
      </c>
      <c r="T38" s="12">
        <f>_xlfn.NORM.DIST(Database[[#This Row],[Pack]],$N$127,$N$128,TRUE)</f>
        <v>0.2705690307561387</v>
      </c>
      <c r="U38" s="11">
        <f>_xlfn.NORM.DIST(Database[[#This Row],[C/$]],$M$127,$M$128,TRUE)</f>
        <v>0.53057942683568715</v>
      </c>
      <c r="V38" s="11">
        <f>Database[[#This Row],[C/Lb N]]*$F$14+Database[[#This Row],[C/$ N]]*$F$16+Database[[#This Row],[Pack N]]*$F$15</f>
        <v>7.6274785500643052</v>
      </c>
      <c r="W38" s="32">
        <v>0.21</v>
      </c>
      <c r="X38" s="32">
        <v>0.08</v>
      </c>
      <c r="Y38" s="32">
        <v>0</v>
      </c>
      <c r="Z38" s="32">
        <v>0.1</v>
      </c>
      <c r="AA38" s="32">
        <v>0.02</v>
      </c>
      <c r="AB38" s="32">
        <v>7.0000000000000007E-2</v>
      </c>
      <c r="AC38" s="32">
        <v>0</v>
      </c>
      <c r="AD38" s="32">
        <v>0.12</v>
      </c>
      <c r="AE38" s="32">
        <v>0</v>
      </c>
      <c r="AF38" s="32">
        <v>0</v>
      </c>
      <c r="AG38" s="32">
        <v>0</v>
      </c>
      <c r="AH38" s="32">
        <v>0.02</v>
      </c>
      <c r="AI38" s="32">
        <v>0.06</v>
      </c>
      <c r="AJ38" s="32">
        <v>0.04</v>
      </c>
      <c r="AL38" t="s">
        <v>97</v>
      </c>
    </row>
    <row r="39" spans="2:38" x14ac:dyDescent="0.2">
      <c r="B39" t="s">
        <v>93</v>
      </c>
      <c r="C39" t="s">
        <v>94</v>
      </c>
      <c r="D39" t="s">
        <v>71</v>
      </c>
      <c r="E39" s="20">
        <f>((Database[[#This Row],[Raw Score]]-MIN(Database[Raw Score]))/(MAX(Database[Raw Score])-MIN(Database[Raw Score])))*10</f>
        <v>7.6606209355467278</v>
      </c>
      <c r="F39" s="21">
        <v>3.79</v>
      </c>
      <c r="G39" s="27" t="s">
        <v>17</v>
      </c>
      <c r="H39" s="27" t="s">
        <v>27</v>
      </c>
      <c r="I39" s="39">
        <v>220</v>
      </c>
      <c r="J39" s="37">
        <v>43</v>
      </c>
      <c r="K39" s="38">
        <v>344</v>
      </c>
      <c r="L39" s="9">
        <f>IF(Database[[#This Row],[g]],Database[[#This Row],[C]]/Database[[#This Row],[Lb]],0)</f>
        <v>2320.7051488372094</v>
      </c>
      <c r="M39" s="9">
        <f>IF(Database[[#This Row],[$]], Database[[#This Row],[C]]/Database[[#This Row],[$]],0)</f>
        <v>464.37994722955142</v>
      </c>
      <c r="N39" s="25">
        <f>IF(OR(ISBLANK(Database[[#This Row],[Air]]),ISBLANK(Database[[#This Row],[Flex]])),0,VLOOKUP(Database[[#This Row],[Flex]],FlexScore[],2,FALSE)+VLOOKUP(Database[[#This Row],[Air]],AirScore[],2,FALSE))</f>
        <v>5</v>
      </c>
      <c r="O39" s="25">
        <f>Database[[#This Row],[g]]/Database[[#This Row],[g/S]]</f>
        <v>8</v>
      </c>
      <c r="P39" s="42">
        <f>IF(Database[[#This Row],[g]],Database[[#This Row],[g]]/453.59237,0)</f>
        <v>0.75839018191597884</v>
      </c>
      <c r="Q39" s="10">
        <f>Database[[#This Row],[Lb]]*16</f>
        <v>12.134242910655662</v>
      </c>
      <c r="R39" s="9">
        <f>IF(Database[[#This Row],[g]],(Database[[#This Row],[C/S]]/Database[[#This Row],[g/S]])*Database[[#This Row],[g]],0)</f>
        <v>1760</v>
      </c>
      <c r="S39" s="11">
        <f>_xlfn.NORM.DIST(Database[[#This Row],[C/Lb]],$L$127,$L$128,TRUE)</f>
        <v>0.70954932769830981</v>
      </c>
      <c r="T39" s="12">
        <f>_xlfn.NORM.DIST(Database[[#This Row],[Pack]],$N$127,$N$128,TRUE)</f>
        <v>0.48330687382898091</v>
      </c>
      <c r="U39" s="11">
        <f>_xlfn.NORM.DIST(Database[[#This Row],[C/$]],$M$127,$M$128,TRUE)</f>
        <v>0.71714371734744742</v>
      </c>
      <c r="V39" s="11">
        <f>Database[[#This Row],[C/Lb N]]*$F$14+Database[[#This Row],[C/$ N]]*$F$16+Database[[#This Row],[Pack N]]*$F$15</f>
        <v>7.3753408658901636</v>
      </c>
      <c r="W39" s="32">
        <v>0.15</v>
      </c>
      <c r="X39" s="32">
        <v>0.12</v>
      </c>
      <c r="Y39" s="32">
        <v>0</v>
      </c>
      <c r="Z39" s="32">
        <v>0.14000000000000001</v>
      </c>
      <c r="AA39" s="32">
        <v>0.09</v>
      </c>
      <c r="AB39" s="32">
        <v>0.04</v>
      </c>
      <c r="AC39" s="32">
        <v>0.08</v>
      </c>
      <c r="AD39" s="32">
        <v>0.1</v>
      </c>
      <c r="AE39" s="32">
        <v>0</v>
      </c>
      <c r="AF39" s="32">
        <v>0</v>
      </c>
      <c r="AG39" s="32">
        <v>0</v>
      </c>
      <c r="AH39" s="32">
        <v>0.04</v>
      </c>
      <c r="AI39" s="32">
        <v>0.08</v>
      </c>
      <c r="AJ39" s="32">
        <v>0.02</v>
      </c>
      <c r="AL39" t="s">
        <v>92</v>
      </c>
    </row>
    <row r="40" spans="2:38" x14ac:dyDescent="0.2">
      <c r="B40" t="s">
        <v>95</v>
      </c>
      <c r="C40" t="s">
        <v>96</v>
      </c>
      <c r="D40" t="s">
        <v>243</v>
      </c>
      <c r="E40" s="20">
        <f>((Database[[#This Row],[Raw Score]]-MIN(Database[Raw Score]))/(MAX(Database[Raw Score])-MIN(Database[Raw Score])))*10</f>
        <v>7.4099284041970108</v>
      </c>
      <c r="F40" s="21">
        <v>7.29</v>
      </c>
      <c r="G40" s="27" t="s">
        <v>17</v>
      </c>
      <c r="H40" s="27" t="s">
        <v>16</v>
      </c>
      <c r="I40" s="22">
        <v>150</v>
      </c>
      <c r="J40" s="37">
        <v>30</v>
      </c>
      <c r="K40" s="38">
        <v>360</v>
      </c>
      <c r="L40" s="9">
        <f>IF(Database[[#This Row],[g]],Database[[#This Row],[C]]/Database[[#This Row],[Lb]],0)</f>
        <v>2267.9618500000001</v>
      </c>
      <c r="M40" s="9">
        <f>IF(Database[[#This Row],[$]], Database[[#This Row],[C]]/Database[[#This Row],[$]],0)</f>
        <v>246.91358024691357</v>
      </c>
      <c r="N40" s="25">
        <f>IF(OR(ISBLANK(Database[[#This Row],[Air]]),ISBLANK(Database[[#This Row],[Flex]])),0,VLOOKUP(Database[[#This Row],[Flex]],FlexScore[],2,FALSE)+VLOOKUP(Database[[#This Row],[Air]],AirScore[],2,FALSE))</f>
        <v>8</v>
      </c>
      <c r="O40" s="25">
        <f>Database[[#This Row],[g]]/Database[[#This Row],[g/S]]</f>
        <v>12</v>
      </c>
      <c r="P40" s="42">
        <f>IF(Database[[#This Row],[g]],Database[[#This Row],[g]]/453.59237,0)</f>
        <v>0.79366414386555928</v>
      </c>
      <c r="Q40" s="10">
        <f>Database[[#This Row],[Lb]]*16</f>
        <v>12.698626301848948</v>
      </c>
      <c r="R40" s="9">
        <f>IF(Database[[#This Row],[g]],(Database[[#This Row],[C/S]]/Database[[#This Row],[g/S]])*Database[[#This Row],[g]],0)</f>
        <v>1800</v>
      </c>
      <c r="S40" s="11">
        <f>_xlfn.NORM.DIST(Database[[#This Row],[C/Lb]],$L$127,$L$128,TRUE)</f>
        <v>0.68266148816904992</v>
      </c>
      <c r="T40" s="12">
        <f>_xlfn.NORM.DIST(Database[[#This Row],[Pack]],$N$127,$N$128,TRUE)</f>
        <v>0.95212895676000608</v>
      </c>
      <c r="U40" s="11">
        <f>_xlfn.NORM.DIST(Database[[#This Row],[C/$]],$M$127,$M$128,TRUE)</f>
        <v>0.40073181063849933</v>
      </c>
      <c r="V40" s="11">
        <f>Database[[#This Row],[C/Lb N]]*$F$14+Database[[#This Row],[C/$ N]]*$F$16+Database[[#This Row],[Pack N]]*$F$15</f>
        <v>7.202422274449809</v>
      </c>
      <c r="W40" s="32">
        <v>0.1</v>
      </c>
      <c r="X40" s="32">
        <v>0.25</v>
      </c>
      <c r="Y40" s="32">
        <v>0.08</v>
      </c>
      <c r="Z40" s="32">
        <v>0.05</v>
      </c>
      <c r="AA40" s="32">
        <v>0.04</v>
      </c>
      <c r="AB40" s="32">
        <v>0</v>
      </c>
      <c r="AC40" s="32">
        <v>0</v>
      </c>
      <c r="AD40" s="32">
        <v>0.16</v>
      </c>
      <c r="AE40" s="32">
        <v>0.1</v>
      </c>
      <c r="AF40" s="32">
        <v>0.2</v>
      </c>
      <c r="AG40" s="32">
        <v>0.08</v>
      </c>
      <c r="AH40" s="32">
        <v>0.2</v>
      </c>
      <c r="AI40" s="32">
        <v>0.2</v>
      </c>
      <c r="AJ40" s="32">
        <v>0.08</v>
      </c>
      <c r="AL40" t="s">
        <v>100</v>
      </c>
    </row>
    <row r="41" spans="2:38" x14ac:dyDescent="0.2">
      <c r="B41" t="s">
        <v>98</v>
      </c>
      <c r="C41" t="s">
        <v>99</v>
      </c>
      <c r="D41" t="s">
        <v>243</v>
      </c>
      <c r="E41" s="20">
        <f>((Database[[#This Row],[Raw Score]]-MIN(Database[Raw Score]))/(MAX(Database[Raw Score])-MIN(Database[Raw Score])))*10</f>
        <v>7.2387912988310958</v>
      </c>
      <c r="F41" s="34">
        <v>4.28</v>
      </c>
      <c r="G41" s="27" t="s">
        <v>17</v>
      </c>
      <c r="H41" s="30" t="s">
        <v>16</v>
      </c>
      <c r="I41" s="40">
        <v>70</v>
      </c>
      <c r="J41" s="37">
        <v>16</v>
      </c>
      <c r="K41" s="38">
        <v>425</v>
      </c>
      <c r="L41" s="9">
        <f>IF(Database[[#This Row],[g]],Database[[#This Row],[C]]/Database[[#This Row],[Lb]],0)</f>
        <v>1984.4666187500002</v>
      </c>
      <c r="M41" s="9">
        <f>IF(Database[[#This Row],[$]], Database[[#This Row],[C]]/Database[[#This Row],[$]],0)</f>
        <v>434.43341121495325</v>
      </c>
      <c r="N41" s="25">
        <f>IF(OR(ISBLANK(Database[[#This Row],[Air]]),ISBLANK(Database[[#This Row],[Flex]])),0,VLOOKUP(Database[[#This Row],[Flex]],FlexScore[],2,FALSE)+VLOOKUP(Database[[#This Row],[Air]],AirScore[],2,FALSE))</f>
        <v>8</v>
      </c>
      <c r="O41" s="25">
        <f>Database[[#This Row],[g]]/Database[[#This Row],[g/S]]</f>
        <v>26.5625</v>
      </c>
      <c r="P41" s="42">
        <f>IF(Database[[#This Row],[g]],Database[[#This Row],[g]]/453.59237,0)</f>
        <v>0.93696461428572964</v>
      </c>
      <c r="Q41" s="10">
        <f>Database[[#This Row],[Lb]]*16</f>
        <v>14.991433828571674</v>
      </c>
      <c r="R41" s="9">
        <f>IF(Database[[#This Row],[g]],(Database[[#This Row],[C/S]]/Database[[#This Row],[g/S]])*Database[[#This Row],[g]],0)</f>
        <v>1859.375</v>
      </c>
      <c r="S41" s="11">
        <f>_xlfn.NORM.DIST(Database[[#This Row],[C/Lb]],$L$127,$L$128,TRUE)</f>
        <v>0.52461491040649988</v>
      </c>
      <c r="T41" s="12">
        <f>_xlfn.NORM.DIST(Database[[#This Row],[Pack]],$N$127,$N$128,TRUE)</f>
        <v>0.95212895676000608</v>
      </c>
      <c r="U41" s="11">
        <f>_xlfn.NORM.DIST(Database[[#This Row],[C/$]],$M$127,$M$128,TRUE)</f>
        <v>0.67747691559380774</v>
      </c>
      <c r="V41" s="11">
        <f>Database[[#This Row],[C/Lb N]]*$F$14+Database[[#This Row],[C/$ N]]*$F$16+Database[[#This Row],[Pack N]]*$F$15</f>
        <v>7.0843781227404348</v>
      </c>
      <c r="W41" s="32">
        <v>0.02</v>
      </c>
      <c r="X41" s="32">
        <v>0</v>
      </c>
      <c r="Y41" s="32">
        <v>0</v>
      </c>
      <c r="Z41" s="32">
        <v>0.04</v>
      </c>
      <c r="AA41" s="32">
        <v>0.03</v>
      </c>
      <c r="AB41" s="32">
        <v>7.0000000000000007E-2</v>
      </c>
      <c r="AC41" s="32">
        <v>0.08</v>
      </c>
      <c r="AD41" s="32">
        <v>0.1</v>
      </c>
      <c r="AE41" s="32">
        <v>0</v>
      </c>
      <c r="AF41" s="32">
        <v>0</v>
      </c>
      <c r="AG41" s="32">
        <v>0</v>
      </c>
      <c r="AH41" s="32">
        <v>0</v>
      </c>
      <c r="AI41" s="32">
        <v>0.04</v>
      </c>
      <c r="AJ41" s="32">
        <v>0.04</v>
      </c>
    </row>
    <row r="42" spans="2:38" x14ac:dyDescent="0.2">
      <c r="B42" t="s">
        <v>93</v>
      </c>
      <c r="C42" t="s">
        <v>101</v>
      </c>
      <c r="D42" t="s">
        <v>71</v>
      </c>
      <c r="E42" s="20">
        <f>((Database[[#This Row],[Raw Score]]-MIN(Database[Raw Score]))/(MAX(Database[Raw Score])-MIN(Database[Raw Score])))*10</f>
        <v>7.180741737802113</v>
      </c>
      <c r="F42" s="21">
        <v>3.79</v>
      </c>
      <c r="G42" s="27" t="s">
        <v>17</v>
      </c>
      <c r="H42" s="27" t="s">
        <v>27</v>
      </c>
      <c r="I42" s="39">
        <v>200</v>
      </c>
      <c r="J42" s="37">
        <v>40</v>
      </c>
      <c r="K42" s="38">
        <v>320</v>
      </c>
      <c r="L42" s="9">
        <f>IF(Database[[#This Row],[g]],Database[[#This Row],[C]]/Database[[#This Row],[Lb]],0)</f>
        <v>2267.9618500000001</v>
      </c>
      <c r="M42" s="9">
        <f>IF(Database[[#This Row],[$]], Database[[#This Row],[C]]/Database[[#This Row],[$]],0)</f>
        <v>422.16358839050133</v>
      </c>
      <c r="N42" s="25">
        <f>IF(OR(ISBLANK(Database[[#This Row],[Air]]),ISBLANK(Database[[#This Row],[Flex]])),0,VLOOKUP(Database[[#This Row],[Flex]],FlexScore[],2,FALSE)+VLOOKUP(Database[[#This Row],[Air]],AirScore[],2,FALSE))</f>
        <v>5</v>
      </c>
      <c r="O42" s="25">
        <f>Database[[#This Row],[g]]/Database[[#This Row],[g/S]]</f>
        <v>8</v>
      </c>
      <c r="P42" s="42">
        <f>IF(Database[[#This Row],[g]],Database[[#This Row],[g]]/453.59237,0)</f>
        <v>0.70547923899160825</v>
      </c>
      <c r="Q42" s="10">
        <f>Database[[#This Row],[Lb]]*16</f>
        <v>11.287667823865732</v>
      </c>
      <c r="R42" s="9">
        <f>IF(Database[[#This Row],[g]],(Database[[#This Row],[C/S]]/Database[[#This Row],[g/S]])*Database[[#This Row],[g]],0)</f>
        <v>1600</v>
      </c>
      <c r="S42" s="11">
        <f>_xlfn.NORM.DIST(Database[[#This Row],[C/Lb]],$L$127,$L$128,TRUE)</f>
        <v>0.68266148816904992</v>
      </c>
      <c r="T42" s="12">
        <f>_xlfn.NORM.DIST(Database[[#This Row],[Pack]],$N$127,$N$128,TRUE)</f>
        <v>0.48330687382898091</v>
      </c>
      <c r="U42" s="11">
        <f>_xlfn.NORM.DIST(Database[[#This Row],[C/$]],$M$127,$M$128,TRUE)</f>
        <v>0.66058498996691239</v>
      </c>
      <c r="V42" s="11">
        <f>Database[[#This Row],[C/Lb N]]*$F$14+Database[[#This Row],[C/$ N]]*$F$16+Database[[#This Row],[Pack N]]*$F$15</f>
        <v>7.0443376465729983</v>
      </c>
      <c r="W42" s="32">
        <v>0.14000000000000001</v>
      </c>
      <c r="X42" s="32">
        <v>0.17</v>
      </c>
      <c r="Y42" s="32">
        <v>0</v>
      </c>
      <c r="Z42" s="32">
        <v>0.18</v>
      </c>
      <c r="AA42" s="32">
        <v>0.09</v>
      </c>
      <c r="AB42" s="32">
        <v>0.02</v>
      </c>
      <c r="AC42" s="32">
        <v>0.04</v>
      </c>
      <c r="AD42" s="32">
        <v>0.06</v>
      </c>
      <c r="AE42" s="32">
        <v>0</v>
      </c>
      <c r="AF42" s="32">
        <v>0</v>
      </c>
      <c r="AG42" s="32">
        <v>0</v>
      </c>
      <c r="AH42" s="32">
        <v>0.06</v>
      </c>
      <c r="AI42" s="32">
        <v>0.08</v>
      </c>
      <c r="AJ42" s="32">
        <v>0.02</v>
      </c>
    </row>
    <row r="43" spans="2:38" x14ac:dyDescent="0.2">
      <c r="B43" t="s">
        <v>93</v>
      </c>
      <c r="C43" t="s">
        <v>102</v>
      </c>
      <c r="D43" t="s">
        <v>71</v>
      </c>
      <c r="E43" s="20">
        <f>((Database[[#This Row],[Raw Score]]-MIN(Database[Raw Score]))/(MAX(Database[Raw Score])-MIN(Database[Raw Score])))*10</f>
        <v>7.1417863839451883</v>
      </c>
      <c r="F43" s="21">
        <v>3.79</v>
      </c>
      <c r="G43" s="27" t="s">
        <v>17</v>
      </c>
      <c r="H43" s="27" t="s">
        <v>27</v>
      </c>
      <c r="I43" s="39">
        <v>230</v>
      </c>
      <c r="J43" s="37">
        <v>48</v>
      </c>
      <c r="K43" s="38">
        <v>390</v>
      </c>
      <c r="L43" s="9">
        <f>IF(Database[[#This Row],[g]],Database[[#This Row],[C]]/Database[[#This Row],[Lb]],0)</f>
        <v>2173.4634395833336</v>
      </c>
      <c r="M43" s="9">
        <f>IF(Database[[#This Row],[$]], Database[[#This Row],[C]]/Database[[#This Row],[$]],0)</f>
        <v>493.07387862796838</v>
      </c>
      <c r="N43" s="25">
        <f>IF(OR(ISBLANK(Database[[#This Row],[Air]]),ISBLANK(Database[[#This Row],[Flex]])),0,VLOOKUP(Database[[#This Row],[Flex]],FlexScore[],2,FALSE)+VLOOKUP(Database[[#This Row],[Air]],AirScore[],2,FALSE))</f>
        <v>5</v>
      </c>
      <c r="O43" s="25">
        <f>Database[[#This Row],[g]]/Database[[#This Row],[g/S]]</f>
        <v>8.125</v>
      </c>
      <c r="P43" s="42">
        <f>IF(Database[[#This Row],[g]],Database[[#This Row],[g]]/453.59237,0)</f>
        <v>0.85980282252102258</v>
      </c>
      <c r="Q43" s="10">
        <f>Database[[#This Row],[Lb]]*16</f>
        <v>13.756845160336361</v>
      </c>
      <c r="R43" s="9">
        <f>IF(Database[[#This Row],[g]],(Database[[#This Row],[C/S]]/Database[[#This Row],[g/S]])*Database[[#This Row],[g]],0)</f>
        <v>1868.7500000000002</v>
      </c>
      <c r="S43" s="11">
        <f>_xlfn.NORM.DIST(Database[[#This Row],[C/Lb]],$L$127,$L$128,TRUE)</f>
        <v>0.63207323269101945</v>
      </c>
      <c r="T43" s="12">
        <f>_xlfn.NORM.DIST(Database[[#This Row],[Pack]],$N$127,$N$128,TRUE)</f>
        <v>0.48330687382898091</v>
      </c>
      <c r="U43" s="11">
        <f>_xlfn.NORM.DIST(Database[[#This Row],[C/$]],$M$127,$M$128,TRUE)</f>
        <v>0.7528048387762748</v>
      </c>
      <c r="V43" s="11">
        <f>Database[[#This Row],[C/Lb N]]*$F$14+Database[[#This Row],[C/$ N]]*$F$16+Database[[#This Row],[Pack N]]*$F$15</f>
        <v>7.0174676601329029</v>
      </c>
      <c r="W43" s="32">
        <v>0.12</v>
      </c>
      <c r="X43" s="32">
        <v>0.18</v>
      </c>
      <c r="Y43" s="32">
        <v>0</v>
      </c>
      <c r="Z43" s="32">
        <v>0.06</v>
      </c>
      <c r="AA43" s="32">
        <v>0.13</v>
      </c>
      <c r="AB43" s="32">
        <v>0.04</v>
      </c>
      <c r="AC43" s="32">
        <v>0.3</v>
      </c>
      <c r="AD43" s="32">
        <v>0.06</v>
      </c>
      <c r="AE43" s="32">
        <v>0</v>
      </c>
      <c r="AF43" s="32">
        <v>0</v>
      </c>
      <c r="AG43" s="32">
        <v>0</v>
      </c>
      <c r="AH43" s="32">
        <v>0</v>
      </c>
      <c r="AI43" s="32">
        <v>0.15</v>
      </c>
      <c r="AJ43" s="32">
        <v>0</v>
      </c>
    </row>
    <row r="44" spans="2:38" x14ac:dyDescent="0.2">
      <c r="B44" t="s">
        <v>103</v>
      </c>
      <c r="C44" t="s">
        <v>104</v>
      </c>
      <c r="D44" t="s">
        <v>71</v>
      </c>
      <c r="E44" s="20">
        <f>((Database[[#This Row],[Raw Score]]-MIN(Database[Raw Score]))/(MAX(Database[Raw Score])-MIN(Database[Raw Score])))*10</f>
        <v>7.1408800303870548</v>
      </c>
      <c r="F44" s="34">
        <v>2.99</v>
      </c>
      <c r="G44" s="27" t="s">
        <v>23</v>
      </c>
      <c r="H44" s="30" t="s">
        <v>26</v>
      </c>
      <c r="I44" s="40">
        <v>150</v>
      </c>
      <c r="J44" s="37">
        <v>29</v>
      </c>
      <c r="K44" s="38">
        <v>351</v>
      </c>
      <c r="L44" s="9">
        <f>IF(Database[[#This Row],[g]],Database[[#This Row],[C]]/Database[[#This Row],[Lb]],0)</f>
        <v>2346.1674310344829</v>
      </c>
      <c r="M44" s="9">
        <f>IF(Database[[#This Row],[$]], Database[[#This Row],[C]]/Database[[#This Row],[$]],0)</f>
        <v>607.1964017991005</v>
      </c>
      <c r="N44" s="25">
        <f>IF(OR(ISBLANK(Database[[#This Row],[Air]]),ISBLANK(Database[[#This Row],[Flex]])),0,VLOOKUP(Database[[#This Row],[Flex]],FlexScore[],2,FALSE)+VLOOKUP(Database[[#This Row],[Air]],AirScore[],2,FALSE))</f>
        <v>2</v>
      </c>
      <c r="O44" s="25">
        <f>Database[[#This Row],[g]]/Database[[#This Row],[g/S]]</f>
        <v>12.103448275862069</v>
      </c>
      <c r="P44" s="42">
        <f>IF(Database[[#This Row],[g]],Database[[#This Row],[g]]/453.59237,0)</f>
        <v>0.77382254026892028</v>
      </c>
      <c r="Q44" s="10">
        <f>Database[[#This Row],[Lb]]*16</f>
        <v>12.381160644302724</v>
      </c>
      <c r="R44" s="9">
        <f>IF(Database[[#This Row],[g]],(Database[[#This Row],[C/S]]/Database[[#This Row],[g/S]])*Database[[#This Row],[g]],0)</f>
        <v>1815.5172413793105</v>
      </c>
      <c r="S44" s="11">
        <f>_xlfn.NORM.DIST(Database[[#This Row],[C/Lb]],$L$127,$L$128,TRUE)</f>
        <v>0.72213633392396026</v>
      </c>
      <c r="T44" s="12">
        <f>_xlfn.NORM.DIST(Database[[#This Row],[Pack]],$N$127,$N$128,TRUE)</f>
        <v>4.0096492533184723E-2</v>
      </c>
      <c r="U44" s="11">
        <f>_xlfn.NORM.DIST(Database[[#This Row],[C/$]],$M$127,$M$128,TRUE)</f>
        <v>0.86794383393294228</v>
      </c>
      <c r="V44" s="11">
        <f>Database[[#This Row],[C/Lb N]]*$F$14+Database[[#This Row],[C/$ N]]*$F$16+Database[[#This Row],[Pack N]]*$F$15</f>
        <v>7.0168424904089575</v>
      </c>
      <c r="W44" s="32">
        <v>0.1</v>
      </c>
      <c r="X44" s="32">
        <v>0.08</v>
      </c>
      <c r="Y44" s="32">
        <v>0</v>
      </c>
      <c r="Z44" s="32">
        <v>0.1</v>
      </c>
      <c r="AA44" s="32">
        <v>0.06</v>
      </c>
      <c r="AB44" s="32">
        <v>0.02</v>
      </c>
      <c r="AC44" s="32">
        <v>0</v>
      </c>
      <c r="AD44" s="32">
        <v>0.06</v>
      </c>
      <c r="AE44" s="32">
        <v>0</v>
      </c>
      <c r="AF44" s="32">
        <v>0</v>
      </c>
      <c r="AG44" s="32">
        <v>0</v>
      </c>
      <c r="AH44" s="32">
        <v>0.02</v>
      </c>
      <c r="AI44" s="32">
        <v>0.04</v>
      </c>
      <c r="AJ44" s="32">
        <v>0</v>
      </c>
    </row>
    <row r="45" spans="2:38" x14ac:dyDescent="0.2">
      <c r="B45" t="s">
        <v>68</v>
      </c>
      <c r="C45" t="s">
        <v>105</v>
      </c>
      <c r="D45" t="s">
        <v>83</v>
      </c>
      <c r="E45" s="20">
        <f>((Database[[#This Row],[Raw Score]]-MIN(Database[Raw Score]))/(MAX(Database[Raw Score])-MIN(Database[Raw Score])))*10</f>
        <v>6.9624918678926795</v>
      </c>
      <c r="F45" s="21">
        <v>4.29</v>
      </c>
      <c r="G45" s="27" t="s">
        <v>17</v>
      </c>
      <c r="H45" s="27" t="s">
        <v>22</v>
      </c>
      <c r="I45" s="39">
        <v>150</v>
      </c>
      <c r="J45" s="37">
        <v>40</v>
      </c>
      <c r="K45" s="38">
        <v>1190</v>
      </c>
      <c r="L45" s="9">
        <f>IF(Database[[#This Row],[g]],Database[[#This Row],[C]]/Database[[#This Row],[Lb]],0)</f>
        <v>1700.9713875</v>
      </c>
      <c r="M45" s="9">
        <f>IF(Database[[#This Row],[$]], Database[[#This Row],[C]]/Database[[#This Row],[$]],0)</f>
        <v>1040.2097902097903</v>
      </c>
      <c r="N45" s="25">
        <f>IF(OR(ISBLANK(Database[[#This Row],[Air]]),ISBLANK(Database[[#This Row],[Flex]])),0,VLOOKUP(Database[[#This Row],[Flex]],FlexScore[],2,FALSE)+VLOOKUP(Database[[#This Row],[Air]],AirScore[],2,FALSE))</f>
        <v>7</v>
      </c>
      <c r="O45" s="25">
        <f>Database[[#This Row],[g]]/Database[[#This Row],[g/S]]</f>
        <v>29.75</v>
      </c>
      <c r="P45" s="42">
        <f>IF(Database[[#This Row],[g]],Database[[#This Row],[g]]/453.59237,0)</f>
        <v>2.6235009200000432</v>
      </c>
      <c r="Q45" s="10">
        <f>Database[[#This Row],[Lb]]*16</f>
        <v>41.976014720000691</v>
      </c>
      <c r="R45" s="9">
        <f>IF(Database[[#This Row],[g]],(Database[[#This Row],[C/S]]/Database[[#This Row],[g/S]])*Database[[#This Row],[g]],0)</f>
        <v>4462.5</v>
      </c>
      <c r="S45" s="11">
        <f>_xlfn.NORM.DIST(Database[[#This Row],[C/Lb]],$L$127,$L$128,TRUE)</f>
        <v>0.36254100513372556</v>
      </c>
      <c r="T45" s="12">
        <f>_xlfn.NORM.DIST(Database[[#This Row],[Pack]],$N$127,$N$128,TRUE)</f>
        <v>0.86359597058145221</v>
      </c>
      <c r="U45" s="11">
        <f>_xlfn.NORM.DIST(Database[[#This Row],[C/$]],$M$127,$M$128,TRUE)</f>
        <v>0.99711961707301966</v>
      </c>
      <c r="V45" s="11">
        <f>Database[[#This Row],[C/Lb N]]*$F$14+Database[[#This Row],[C/$ N]]*$F$16+Database[[#This Row],[Pack N]]*$F$15</f>
        <v>6.8937968231843163</v>
      </c>
      <c r="W45" s="32">
        <v>0.03</v>
      </c>
      <c r="X45" s="32">
        <v>0.03</v>
      </c>
      <c r="Y45" s="32">
        <v>0</v>
      </c>
      <c r="Z45" s="32">
        <v>0</v>
      </c>
      <c r="AA45" s="32">
        <v>0.1</v>
      </c>
      <c r="AB45" s="32">
        <v>0.14000000000000001</v>
      </c>
      <c r="AC45" s="32">
        <v>0</v>
      </c>
      <c r="AD45" s="32">
        <v>0.1</v>
      </c>
      <c r="AE45" s="32">
        <v>0</v>
      </c>
      <c r="AF45" s="32">
        <v>0</v>
      </c>
      <c r="AG45" s="32">
        <v>0</v>
      </c>
      <c r="AH45" s="32">
        <v>0</v>
      </c>
      <c r="AI45" s="32">
        <v>0.08</v>
      </c>
      <c r="AJ45" s="32">
        <v>0.04</v>
      </c>
    </row>
    <row r="46" spans="2:38" x14ac:dyDescent="0.2">
      <c r="B46" t="s">
        <v>106</v>
      </c>
      <c r="C46" t="s">
        <v>107</v>
      </c>
      <c r="D46" t="s">
        <v>100</v>
      </c>
      <c r="E46" s="20">
        <f>((Database[[#This Row],[Raw Score]]-MIN(Database[Raw Score]))/(MAX(Database[Raw Score])-MIN(Database[Raw Score])))*10</f>
        <v>6.8251563691862041</v>
      </c>
      <c r="F46" s="21">
        <v>4.79</v>
      </c>
      <c r="G46" s="27" t="s">
        <v>17</v>
      </c>
      <c r="H46" s="28" t="s">
        <v>27</v>
      </c>
      <c r="I46" s="22">
        <v>160</v>
      </c>
      <c r="J46" s="37">
        <v>30</v>
      </c>
      <c r="K46" s="38">
        <v>240</v>
      </c>
      <c r="L46" s="9">
        <f>IF(Database[[#This Row],[g]],Database[[#This Row],[C]]/Database[[#This Row],[Lb]],0)</f>
        <v>2419.1593066666669</v>
      </c>
      <c r="M46" s="9">
        <f>IF(Database[[#This Row],[$]], Database[[#This Row],[C]]/Database[[#This Row],[$]],0)</f>
        <v>267.22338204592904</v>
      </c>
      <c r="N46" s="25">
        <f>IF(OR(ISBLANK(Database[[#This Row],[Air]]),ISBLANK(Database[[#This Row],[Flex]])),0,VLOOKUP(Database[[#This Row],[Flex]],FlexScore[],2,FALSE)+VLOOKUP(Database[[#This Row],[Air]],AirScore[],2,FALSE))</f>
        <v>5</v>
      </c>
      <c r="O46" s="25">
        <f>Database[[#This Row],[g]]/Database[[#This Row],[g/S]]</f>
        <v>8</v>
      </c>
      <c r="P46" s="42">
        <f>IF(Database[[#This Row],[g]],Database[[#This Row],[g]]/453.59237,0)</f>
        <v>0.52910942924370619</v>
      </c>
      <c r="Q46" s="10">
        <f>Database[[#This Row],[Lb]]*16</f>
        <v>8.465750867899299</v>
      </c>
      <c r="R46" s="9">
        <f>IF(Database[[#This Row],[g]],(Database[[#This Row],[C/S]]/Database[[#This Row],[g/S]])*Database[[#This Row],[g]],0)</f>
        <v>1280</v>
      </c>
      <c r="S46" s="11">
        <f>_xlfn.NORM.DIST(Database[[#This Row],[C/Lb]],$L$127,$L$128,TRUE)</f>
        <v>0.75667349289433461</v>
      </c>
      <c r="T46" s="12">
        <f>_xlfn.NORM.DIST(Database[[#This Row],[Pack]],$N$127,$N$128,TRUE)</f>
        <v>0.48330687382898091</v>
      </c>
      <c r="U46" s="11">
        <f>_xlfn.NORM.DIST(Database[[#This Row],[C/$]],$M$127,$M$128,TRUE)</f>
        <v>0.43080436183180421</v>
      </c>
      <c r="V46" s="11">
        <f>Database[[#This Row],[C/Lb N]]*$F$14+Database[[#This Row],[C/$ N]]*$F$16+Database[[#This Row],[Pack N]]*$F$15</f>
        <v>6.7990677905193824</v>
      </c>
      <c r="W46" s="32">
        <v>0.11</v>
      </c>
      <c r="X46" s="32">
        <v>0.15</v>
      </c>
      <c r="Y46" s="32">
        <v>0.01</v>
      </c>
      <c r="Z46" s="32">
        <v>0.03</v>
      </c>
      <c r="AA46" s="32">
        <v>7.0000000000000007E-2</v>
      </c>
      <c r="AB46" s="32">
        <v>0</v>
      </c>
      <c r="AC46" s="32">
        <v>0.16</v>
      </c>
      <c r="AD46" s="32">
        <v>0.02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</row>
    <row r="47" spans="2:38" x14ac:dyDescent="0.2">
      <c r="B47" t="s">
        <v>108</v>
      </c>
      <c r="C47" t="s">
        <v>109</v>
      </c>
      <c r="D47" t="s">
        <v>71</v>
      </c>
      <c r="E47" s="20">
        <f>((Database[[#This Row],[Raw Score]]-MIN(Database[Raw Score]))/(MAX(Database[Raw Score])-MIN(Database[Raw Score])))*10</f>
        <v>6.6912956897576903</v>
      </c>
      <c r="F47" s="21">
        <v>3.99</v>
      </c>
      <c r="G47" s="27" t="s">
        <v>17</v>
      </c>
      <c r="H47" s="27" t="s">
        <v>28</v>
      </c>
      <c r="I47" s="22">
        <v>70</v>
      </c>
      <c r="J47" s="37">
        <v>14</v>
      </c>
      <c r="K47" s="38">
        <v>354</v>
      </c>
      <c r="L47" s="9">
        <f>IF(Database[[#This Row],[g]],Database[[#This Row],[C]]/Database[[#This Row],[Lb]],0)</f>
        <v>2267.9618500000001</v>
      </c>
      <c r="M47" s="9">
        <f>IF(Database[[#This Row],[$]], Database[[#This Row],[C]]/Database[[#This Row],[$]],0)</f>
        <v>443.60902255639093</v>
      </c>
      <c r="N47" s="25">
        <f>IF(OR(ISBLANK(Database[[#This Row],[Air]]),ISBLANK(Database[[#This Row],[Flex]])),0,VLOOKUP(Database[[#This Row],[Flex]],FlexScore[],2,FALSE)+VLOOKUP(Database[[#This Row],[Air]],AirScore[],2,FALSE))</f>
        <v>4</v>
      </c>
      <c r="O47" s="25">
        <f>Database[[#This Row],[g]]/Database[[#This Row],[g/S]]</f>
        <v>25.285714285714285</v>
      </c>
      <c r="P47" s="42">
        <f>IF(Database[[#This Row],[g]],Database[[#This Row],[g]]/453.59237,0)</f>
        <v>0.78043640813446657</v>
      </c>
      <c r="Q47" s="10">
        <f>Database[[#This Row],[Lb]]*16</f>
        <v>12.486982530151465</v>
      </c>
      <c r="R47" s="9">
        <f>IF(Database[[#This Row],[g]],(Database[[#This Row],[C/S]]/Database[[#This Row],[g/S]])*Database[[#This Row],[g]],0)</f>
        <v>1770</v>
      </c>
      <c r="S47" s="11">
        <f>_xlfn.NORM.DIST(Database[[#This Row],[C/Lb]],$L$127,$L$128,TRUE)</f>
        <v>0.68266148816904992</v>
      </c>
      <c r="T47" s="12">
        <f>_xlfn.NORM.DIST(Database[[#This Row],[Pack]],$N$127,$N$128,TRUE)</f>
        <v>0.2705690307561387</v>
      </c>
      <c r="U47" s="11">
        <f>_xlfn.NORM.DIST(Database[[#This Row],[C/$]],$M$127,$M$128,TRUE)</f>
        <v>0.68987619043351078</v>
      </c>
      <c r="V47" s="11">
        <f>Database[[#This Row],[C/Lb N]]*$F$14+Database[[#This Row],[C/$ N]]*$F$16+Database[[#This Row],[Pack N]]*$F$15</f>
        <v>6.7067355618271085</v>
      </c>
      <c r="W47" s="32">
        <v>0.04</v>
      </c>
      <c r="X47" s="32">
        <v>0</v>
      </c>
      <c r="Y47" s="32">
        <v>0</v>
      </c>
      <c r="Z47" s="32">
        <v>0.05</v>
      </c>
      <c r="AA47" s="32">
        <v>0.03</v>
      </c>
      <c r="AB47" s="32">
        <v>0</v>
      </c>
      <c r="AC47" s="32">
        <v>0.02</v>
      </c>
      <c r="AD47" s="32">
        <v>0.02</v>
      </c>
      <c r="AE47" s="32">
        <v>0</v>
      </c>
      <c r="AF47" s="32">
        <v>0</v>
      </c>
      <c r="AG47" s="32">
        <v>0</v>
      </c>
      <c r="AH47" s="32">
        <v>0</v>
      </c>
      <c r="AI47" s="32">
        <v>0.02</v>
      </c>
      <c r="AJ47" s="32">
        <v>0</v>
      </c>
    </row>
    <row r="48" spans="2:38" x14ac:dyDescent="0.2">
      <c r="B48" t="s">
        <v>110</v>
      </c>
      <c r="C48" t="s">
        <v>111</v>
      </c>
      <c r="D48" t="s">
        <v>71</v>
      </c>
      <c r="E48" s="20">
        <f>((Database[[#This Row],[Raw Score]]-MIN(Database[Raw Score]))/(MAX(Database[Raw Score])-MIN(Database[Raw Score])))*10</f>
        <v>6.6486096344231962</v>
      </c>
      <c r="F48" s="21">
        <v>3.99</v>
      </c>
      <c r="G48" s="27" t="s">
        <v>17</v>
      </c>
      <c r="H48" s="27" t="s">
        <v>27</v>
      </c>
      <c r="I48" s="22">
        <v>190</v>
      </c>
      <c r="J48" s="37">
        <v>39</v>
      </c>
      <c r="K48" s="38">
        <v>311</v>
      </c>
      <c r="L48" s="9">
        <f>IF(Database[[#This Row],[g]],Database[[#This Row],[C]]/Database[[#This Row],[Lb]],0)</f>
        <v>2209.8089820512819</v>
      </c>
      <c r="M48" s="9">
        <f>IF(Database[[#This Row],[$]], Database[[#This Row],[C]]/Database[[#This Row],[$]],0)</f>
        <v>379.73137973137972</v>
      </c>
      <c r="N48" s="25">
        <f>IF(OR(ISBLANK(Database[[#This Row],[Air]]),ISBLANK(Database[[#This Row],[Flex]])),0,VLOOKUP(Database[[#This Row],[Flex]],FlexScore[],2,FALSE)+VLOOKUP(Database[[#This Row],[Air]],AirScore[],2,FALSE))</f>
        <v>5</v>
      </c>
      <c r="O48" s="25">
        <f>Database[[#This Row],[g]]/Database[[#This Row],[g/S]]</f>
        <v>7.9743589743589745</v>
      </c>
      <c r="P48" s="42">
        <f>IF(Database[[#This Row],[g]],Database[[#This Row],[g]]/453.59237,0)</f>
        <v>0.68563763539496925</v>
      </c>
      <c r="Q48" s="10">
        <f>Database[[#This Row],[Lb]]*16</f>
        <v>10.970202166319508</v>
      </c>
      <c r="R48" s="9">
        <f>IF(Database[[#This Row],[g]],(Database[[#This Row],[C/S]]/Database[[#This Row],[g/S]])*Database[[#This Row],[g]],0)</f>
        <v>1515.1282051282051</v>
      </c>
      <c r="S48" s="11">
        <f>_xlfn.NORM.DIST(Database[[#This Row],[C/Lb]],$L$127,$L$128,TRUE)</f>
        <v>0.65186158893510715</v>
      </c>
      <c r="T48" s="12">
        <f>_xlfn.NORM.DIST(Database[[#This Row],[Pack]],$N$127,$N$128,TRUE)</f>
        <v>0.48330687382898091</v>
      </c>
      <c r="U48" s="11">
        <f>_xlfn.NORM.DIST(Database[[#This Row],[C/$]],$M$127,$M$128,TRUE)</f>
        <v>0.59983633063662434</v>
      </c>
      <c r="V48" s="11">
        <f>Database[[#This Row],[C/Lb N]]*$F$14+Database[[#This Row],[C/$ N]]*$F$16+Database[[#This Row],[Pack N]]*$F$15</f>
        <v>6.6772922731784776</v>
      </c>
      <c r="W48" s="32">
        <v>0.12</v>
      </c>
      <c r="X48" s="32">
        <v>0.08</v>
      </c>
      <c r="Y48" s="32">
        <v>0</v>
      </c>
      <c r="Z48" s="32">
        <v>0.13</v>
      </c>
      <c r="AA48" s="32">
        <v>0.09</v>
      </c>
      <c r="AB48" s="32">
        <v>0.04</v>
      </c>
      <c r="AC48" s="32">
        <v>0.08</v>
      </c>
      <c r="AD48" s="32">
        <v>0.08</v>
      </c>
      <c r="AE48" s="32">
        <v>0</v>
      </c>
      <c r="AF48" s="32">
        <v>0</v>
      </c>
      <c r="AG48" s="32">
        <v>0</v>
      </c>
      <c r="AH48" s="32">
        <v>0</v>
      </c>
      <c r="AI48" s="32">
        <v>0.06</v>
      </c>
      <c r="AJ48" s="32">
        <v>0</v>
      </c>
    </row>
    <row r="49" spans="2:36" x14ac:dyDescent="0.2">
      <c r="B49" t="s">
        <v>112</v>
      </c>
      <c r="C49" t="s">
        <v>113</v>
      </c>
      <c r="D49" t="s">
        <v>66</v>
      </c>
      <c r="E49" s="20">
        <f>((Database[[#This Row],[Raw Score]]-MIN(Database[Raw Score]))/(MAX(Database[Raw Score])-MIN(Database[Raw Score])))*10</f>
        <v>6.612155972092828</v>
      </c>
      <c r="F49" s="21">
        <v>5.98</v>
      </c>
      <c r="G49" s="27" t="s">
        <v>17</v>
      </c>
      <c r="H49" s="27" t="s">
        <v>27</v>
      </c>
      <c r="I49" s="39">
        <v>200</v>
      </c>
      <c r="J49" s="37">
        <v>36</v>
      </c>
      <c r="K49" s="38">
        <v>184</v>
      </c>
      <c r="L49" s="9">
        <f>IF(Database[[#This Row],[g]],Database[[#This Row],[C]]/Database[[#This Row],[Lb]],0)</f>
        <v>2519.957611111111</v>
      </c>
      <c r="M49" s="9">
        <f>IF(Database[[#This Row],[$]], Database[[#This Row],[C]]/Database[[#This Row],[$]],0)</f>
        <v>170.94017094017093</v>
      </c>
      <c r="N49" s="25">
        <f>IF(OR(ISBLANK(Database[[#This Row],[Air]]),ISBLANK(Database[[#This Row],[Flex]])),0,VLOOKUP(Database[[#This Row],[Flex]],FlexScore[],2,FALSE)+VLOOKUP(Database[[#This Row],[Air]],AirScore[],2,FALSE))</f>
        <v>5</v>
      </c>
      <c r="O49" s="25">
        <f>Database[[#This Row],[g]]/Database[[#This Row],[g/S]]</f>
        <v>5.1111111111111107</v>
      </c>
      <c r="P49" s="42">
        <f>IF(Database[[#This Row],[g]],Database[[#This Row],[g]]/453.59237,0)</f>
        <v>0.40565056242017472</v>
      </c>
      <c r="Q49" s="10">
        <f>Database[[#This Row],[Lb]]*16</f>
        <v>6.4904089987227955</v>
      </c>
      <c r="R49" s="9">
        <f>IF(Database[[#This Row],[g]],(Database[[#This Row],[C/S]]/Database[[#This Row],[g/S]])*Database[[#This Row],[g]],0)</f>
        <v>1022.2222222222222</v>
      </c>
      <c r="S49" s="11">
        <f>_xlfn.NORM.DIST(Database[[#This Row],[C/Lb]],$L$127,$L$128,TRUE)</f>
        <v>0.80028339756249367</v>
      </c>
      <c r="T49" s="12">
        <f>_xlfn.NORM.DIST(Database[[#This Row],[Pack]],$N$127,$N$128,TRUE)</f>
        <v>0.48330687382898091</v>
      </c>
      <c r="U49" s="11">
        <f>_xlfn.NORM.DIST(Database[[#This Row],[C/$]],$M$127,$M$128,TRUE)</f>
        <v>0.29461124318132065</v>
      </c>
      <c r="V49" s="11">
        <f>Database[[#This Row],[C/Lb N]]*$F$14+Database[[#This Row],[C/$ N]]*$F$16+Database[[#This Row],[Pack N]]*$F$15</f>
        <v>6.6521478625768866</v>
      </c>
      <c r="W49" s="32">
        <v>0.15</v>
      </c>
      <c r="X49" s="32">
        <v>0.24</v>
      </c>
      <c r="Y49" s="32">
        <v>0</v>
      </c>
      <c r="Z49" s="32">
        <v>0.06</v>
      </c>
      <c r="AA49" s="32">
        <v>0.06</v>
      </c>
      <c r="AB49" s="32">
        <v>0.11</v>
      </c>
      <c r="AC49" s="32">
        <v>0.15</v>
      </c>
      <c r="AD49" s="32">
        <v>0.1</v>
      </c>
      <c r="AE49" s="32">
        <v>0</v>
      </c>
      <c r="AF49" s="32">
        <v>0</v>
      </c>
      <c r="AG49" s="32">
        <v>0</v>
      </c>
      <c r="AH49" s="32">
        <v>0</v>
      </c>
      <c r="AI49" s="32">
        <v>0.04</v>
      </c>
      <c r="AJ49" s="32">
        <v>0.02</v>
      </c>
    </row>
    <row r="50" spans="2:36" x14ac:dyDescent="0.2">
      <c r="B50" t="s">
        <v>114</v>
      </c>
      <c r="C50" t="s">
        <v>115</v>
      </c>
      <c r="D50" t="s">
        <v>71</v>
      </c>
      <c r="E50" s="20">
        <f>((Database[[#This Row],[Raw Score]]-MIN(Database[Raw Score]))/(MAX(Database[Raw Score])-MIN(Database[Raw Score])))*10</f>
        <v>6.3724482955722204</v>
      </c>
      <c r="F50" s="21">
        <v>3.69</v>
      </c>
      <c r="G50" s="27" t="s">
        <v>17</v>
      </c>
      <c r="H50" s="27" t="s">
        <v>22</v>
      </c>
      <c r="I50" s="39">
        <v>140</v>
      </c>
      <c r="J50" s="37">
        <v>30</v>
      </c>
      <c r="K50" s="38">
        <v>187</v>
      </c>
      <c r="L50" s="9">
        <f>IF(Database[[#This Row],[g]],Database[[#This Row],[C]]/Database[[#This Row],[Lb]],0)</f>
        <v>2116.7643933333334</v>
      </c>
      <c r="M50" s="9">
        <f>IF(Database[[#This Row],[$]], Database[[#This Row],[C]]/Database[[#This Row],[$]],0)</f>
        <v>236.49503161698286</v>
      </c>
      <c r="N50" s="25">
        <f>IF(OR(ISBLANK(Database[[#This Row],[Air]]),ISBLANK(Database[[#This Row],[Flex]])),0,VLOOKUP(Database[[#This Row],[Flex]],FlexScore[],2,FALSE)+VLOOKUP(Database[[#This Row],[Air]],AirScore[],2,FALSE))</f>
        <v>7</v>
      </c>
      <c r="O50" s="25">
        <f>Database[[#This Row],[g]]/Database[[#This Row],[g/S]]</f>
        <v>6.2333333333333334</v>
      </c>
      <c r="P50" s="42">
        <f>IF(Database[[#This Row],[g]],Database[[#This Row],[g]]/453.59237,0)</f>
        <v>0.41226443028572107</v>
      </c>
      <c r="Q50" s="10">
        <f>Database[[#This Row],[Lb]]*16</f>
        <v>6.5962308845715372</v>
      </c>
      <c r="R50" s="9">
        <f>IF(Database[[#This Row],[g]],(Database[[#This Row],[C/S]]/Database[[#This Row],[g/S]])*Database[[#This Row],[g]],0)</f>
        <v>872.66666666666674</v>
      </c>
      <c r="S50" s="11">
        <f>_xlfn.NORM.DIST(Database[[#This Row],[C/Lb]],$L$127,$L$128,TRUE)</f>
        <v>0.60050963816701164</v>
      </c>
      <c r="T50" s="12">
        <f>_xlfn.NORM.DIST(Database[[#This Row],[Pack]],$N$127,$N$128,TRUE)</f>
        <v>0.86359597058145221</v>
      </c>
      <c r="U50" s="11">
        <f>_xlfn.NORM.DIST(Database[[#This Row],[C/$]],$M$127,$M$128,TRUE)</f>
        <v>0.38551881811914818</v>
      </c>
      <c r="V50" s="11">
        <f>Database[[#This Row],[C/Lb N]]*$F$14+Database[[#This Row],[C/$ N]]*$F$16+Database[[#This Row],[Pack N]]*$F$15</f>
        <v>6.486806224522419</v>
      </c>
      <c r="W50" s="32">
        <v>0.06</v>
      </c>
      <c r="X50" s="32">
        <v>0.05</v>
      </c>
      <c r="Y50" s="32">
        <v>0.03</v>
      </c>
      <c r="Z50" s="32">
        <v>0.11</v>
      </c>
      <c r="AA50" s="32">
        <v>7.0000000000000007E-2</v>
      </c>
      <c r="AB50" s="32">
        <v>0.04</v>
      </c>
      <c r="AC50" s="32">
        <v>0</v>
      </c>
      <c r="AD50" s="32">
        <v>0.06</v>
      </c>
      <c r="AE50" s="32">
        <v>0</v>
      </c>
      <c r="AF50" s="32">
        <v>0</v>
      </c>
      <c r="AG50" s="32">
        <v>0</v>
      </c>
      <c r="AH50" s="32">
        <v>0.04</v>
      </c>
      <c r="AI50" s="32">
        <v>0.08</v>
      </c>
      <c r="AJ50" s="32">
        <v>0</v>
      </c>
    </row>
    <row r="51" spans="2:36" x14ac:dyDescent="0.2">
      <c r="B51" t="s">
        <v>74</v>
      </c>
      <c r="C51" t="s">
        <v>116</v>
      </c>
      <c r="D51" t="s">
        <v>76</v>
      </c>
      <c r="E51" s="20">
        <f>((Database[[#This Row],[Raw Score]]-MIN(Database[Raw Score]))/(MAX(Database[Raw Score])-MIN(Database[Raw Score])))*10</f>
        <v>6.2952759478907154</v>
      </c>
      <c r="F51" s="21">
        <v>7.18</v>
      </c>
      <c r="G51" s="27" t="s">
        <v>20</v>
      </c>
      <c r="H51" s="27" t="s">
        <v>26</v>
      </c>
      <c r="I51" s="22">
        <v>160</v>
      </c>
      <c r="J51" s="37">
        <v>28</v>
      </c>
      <c r="K51" s="38">
        <v>227</v>
      </c>
      <c r="L51" s="9">
        <f>IF(Database[[#This Row],[g]],Database[[#This Row],[C]]/Database[[#This Row],[Lb]],0)</f>
        <v>2591.9564</v>
      </c>
      <c r="M51" s="9">
        <f>IF(Database[[#This Row],[$]], Database[[#This Row],[C]]/Database[[#This Row],[$]],0)</f>
        <v>180.66056506167928</v>
      </c>
      <c r="N51" s="25">
        <f>IF(OR(ISBLANK(Database[[#This Row],[Air]]),ISBLANK(Database[[#This Row],[Flex]])),0,VLOOKUP(Database[[#This Row],[Flex]],FlexScore[],2,FALSE)+VLOOKUP(Database[[#This Row],[Air]],AirScore[],2,FALSE))</f>
        <v>4</v>
      </c>
      <c r="O51" s="25">
        <f>Database[[#This Row],[g]]/Database[[#This Row],[g/S]]</f>
        <v>8.1071428571428577</v>
      </c>
      <c r="P51" s="42">
        <f>IF(Database[[#This Row],[g]],Database[[#This Row],[g]]/453.59237,0)</f>
        <v>0.50044933515967205</v>
      </c>
      <c r="Q51" s="10">
        <f>Database[[#This Row],[Lb]]*16</f>
        <v>8.0071893625547528</v>
      </c>
      <c r="R51" s="9">
        <f>IF(Database[[#This Row],[g]],(Database[[#This Row],[C/S]]/Database[[#This Row],[g/S]])*Database[[#This Row],[g]],0)</f>
        <v>1297.1428571428571</v>
      </c>
      <c r="S51" s="11">
        <f>_xlfn.NORM.DIST(Database[[#This Row],[C/Lb]],$L$127,$L$128,TRUE)</f>
        <v>0.82834059963846263</v>
      </c>
      <c r="T51" s="12">
        <f>_xlfn.NORM.DIST(Database[[#This Row],[Pack]],$N$127,$N$128,TRUE)</f>
        <v>0.2705690307561387</v>
      </c>
      <c r="U51" s="11">
        <f>_xlfn.NORM.DIST(Database[[#This Row],[C/$]],$M$127,$M$128,TRUE)</f>
        <v>0.3074646287327617</v>
      </c>
      <c r="V51" s="11">
        <f>Database[[#This Row],[C/Lb N]]*$F$14+Database[[#This Row],[C/$ N]]*$F$16+Database[[#This Row],[Pack N]]*$F$15</f>
        <v>6.4335755455413377</v>
      </c>
      <c r="W51" s="32">
        <v>0.16</v>
      </c>
      <c r="X51" s="32">
        <v>0.11</v>
      </c>
      <c r="Y51" s="32">
        <v>0</v>
      </c>
      <c r="Z51" s="32">
        <v>0.04</v>
      </c>
      <c r="AA51" s="32">
        <v>0.03</v>
      </c>
      <c r="AB51" s="32">
        <v>0.03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0.1</v>
      </c>
      <c r="AJ51" s="32">
        <v>0.04</v>
      </c>
    </row>
    <row r="52" spans="2:36" x14ac:dyDescent="0.2">
      <c r="B52" t="s">
        <v>117</v>
      </c>
      <c r="C52" t="s">
        <v>113</v>
      </c>
      <c r="D52" t="s">
        <v>66</v>
      </c>
      <c r="E52" s="20">
        <f>((Database[[#This Row],[Raw Score]]-MIN(Database[Raw Score]))/(MAX(Database[Raw Score])-MIN(Database[Raw Score])))*10</f>
        <v>6.288559848744935</v>
      </c>
      <c r="F52" s="21">
        <v>8.59</v>
      </c>
      <c r="G52" s="27" t="s">
        <v>17</v>
      </c>
      <c r="H52" s="27" t="s">
        <v>27</v>
      </c>
      <c r="I52" s="39">
        <v>220</v>
      </c>
      <c r="J52" s="37">
        <v>40</v>
      </c>
      <c r="K52" s="38">
        <v>200</v>
      </c>
      <c r="L52" s="9">
        <f>IF(Database[[#This Row],[g]],Database[[#This Row],[C]]/Database[[#This Row],[Lb]],0)</f>
        <v>2494.7580349999998</v>
      </c>
      <c r="M52" s="9">
        <f>IF(Database[[#This Row],[$]], Database[[#This Row],[C]]/Database[[#This Row],[$]],0)</f>
        <v>128.0558789289872</v>
      </c>
      <c r="N52" s="25">
        <f>IF(OR(ISBLANK(Database[[#This Row],[Air]]),ISBLANK(Database[[#This Row],[Flex]])),0,VLOOKUP(Database[[#This Row],[Flex]],FlexScore[],2,FALSE)+VLOOKUP(Database[[#This Row],[Air]],AirScore[],2,FALSE))</f>
        <v>5</v>
      </c>
      <c r="O52" s="25">
        <f>Database[[#This Row],[g]]/Database[[#This Row],[g/S]]</f>
        <v>5</v>
      </c>
      <c r="P52" s="42">
        <f>IF(Database[[#This Row],[g]],Database[[#This Row],[g]]/453.59237,0)</f>
        <v>0.44092452436975516</v>
      </c>
      <c r="Q52" s="10">
        <f>Database[[#This Row],[Lb]]*16</f>
        <v>7.0547923899160825</v>
      </c>
      <c r="R52" s="9">
        <f>IF(Database[[#This Row],[g]],(Database[[#This Row],[C/S]]/Database[[#This Row],[g/S]])*Database[[#This Row],[g]],0)</f>
        <v>1100</v>
      </c>
      <c r="S52" s="11">
        <f>_xlfn.NORM.DIST(Database[[#This Row],[C/Lb]],$L$127,$L$128,TRUE)</f>
        <v>0.7898456990891537</v>
      </c>
      <c r="T52" s="12">
        <f>_xlfn.NORM.DIST(Database[[#This Row],[Pack]],$N$127,$N$128,TRUE)</f>
        <v>0.48330687382898091</v>
      </c>
      <c r="U52" s="11">
        <f>_xlfn.NORM.DIST(Database[[#This Row],[C/$]],$M$127,$M$128,TRUE)</f>
        <v>0.24108502746511962</v>
      </c>
      <c r="V52" s="11">
        <f>Database[[#This Row],[C/Lb N]]*$F$14+Database[[#This Row],[C/$ N]]*$F$16+Database[[#This Row],[Pack N]]*$F$15</f>
        <v>6.4289430245882428</v>
      </c>
      <c r="W52" s="32">
        <v>0.17</v>
      </c>
      <c r="X52" s="32">
        <v>0.35</v>
      </c>
      <c r="Y52" s="32">
        <v>0.05</v>
      </c>
      <c r="Z52" s="32">
        <v>0.05</v>
      </c>
      <c r="AA52" s="32">
        <v>0.04</v>
      </c>
      <c r="AB52" s="32">
        <v>0.04</v>
      </c>
      <c r="AC52" s="32">
        <v>0.1</v>
      </c>
      <c r="AD52" s="32">
        <v>0.26</v>
      </c>
      <c r="AE52" s="32">
        <v>0</v>
      </c>
      <c r="AF52" s="32">
        <v>0</v>
      </c>
      <c r="AG52" s="32">
        <v>0</v>
      </c>
      <c r="AH52" s="32">
        <v>0.04</v>
      </c>
      <c r="AI52" s="32">
        <v>0.08</v>
      </c>
      <c r="AJ52" s="32">
        <v>0.04</v>
      </c>
    </row>
    <row r="53" spans="2:36" x14ac:dyDescent="0.2">
      <c r="B53" t="s">
        <v>118</v>
      </c>
      <c r="C53" t="s">
        <v>119</v>
      </c>
      <c r="D53" t="s">
        <v>86</v>
      </c>
      <c r="E53" s="20">
        <f>((Database[[#This Row],[Raw Score]]-MIN(Database[Raw Score]))/(MAX(Database[Raw Score])-MIN(Database[Raw Score])))*10</f>
        <v>5.9919801482059647</v>
      </c>
      <c r="F53" s="21">
        <v>5.59</v>
      </c>
      <c r="G53" s="27" t="s">
        <v>17</v>
      </c>
      <c r="H53" s="27" t="s">
        <v>27</v>
      </c>
      <c r="I53" s="22">
        <v>110</v>
      </c>
      <c r="J53" s="37">
        <v>21</v>
      </c>
      <c r="K53" s="38">
        <v>170</v>
      </c>
      <c r="L53" s="9">
        <f>IF(Database[[#This Row],[g]],Database[[#This Row],[C]]/Database[[#This Row],[Lb]],0)</f>
        <v>2375.9600333333337</v>
      </c>
      <c r="M53" s="9">
        <f>IF(Database[[#This Row],[$]], Database[[#This Row],[C]]/Database[[#This Row],[$]],0)</f>
        <v>159.29806627481045</v>
      </c>
      <c r="N53" s="25">
        <f>IF(OR(ISBLANK(Database[[#This Row],[Air]]),ISBLANK(Database[[#This Row],[Flex]])),0,VLOOKUP(Database[[#This Row],[Flex]],FlexScore[],2,FALSE)+VLOOKUP(Database[[#This Row],[Air]],AirScore[],2,FALSE))</f>
        <v>5</v>
      </c>
      <c r="O53" s="25">
        <f>Database[[#This Row],[g]]/Database[[#This Row],[g/S]]</f>
        <v>8.0952380952380949</v>
      </c>
      <c r="P53" s="42">
        <f>IF(Database[[#This Row],[g]],Database[[#This Row],[g]]/453.59237,0)</f>
        <v>0.37478584571429185</v>
      </c>
      <c r="Q53" s="10">
        <f>Database[[#This Row],[Lb]]*16</f>
        <v>5.9965735314286697</v>
      </c>
      <c r="R53" s="9">
        <f>IF(Database[[#This Row],[g]],(Database[[#This Row],[C/S]]/Database[[#This Row],[g/S]])*Database[[#This Row],[g]],0)</f>
        <v>890.47619047619048</v>
      </c>
      <c r="S53" s="11">
        <f>_xlfn.NORM.DIST(Database[[#This Row],[C/Lb]],$L$127,$L$128,TRUE)</f>
        <v>0.73651743342379006</v>
      </c>
      <c r="T53" s="12">
        <f>_xlfn.NORM.DIST(Database[[#This Row],[Pack]],$N$127,$N$128,TRUE)</f>
        <v>0.48330687382898091</v>
      </c>
      <c r="U53" s="11">
        <f>_xlfn.NORM.DIST(Database[[#This Row],[C/$]],$M$127,$M$128,TRUE)</f>
        <v>0.27955159479108405</v>
      </c>
      <c r="V53" s="11">
        <f>Database[[#This Row],[C/Lb N]]*$F$14+Database[[#This Row],[C/$ N]]*$F$16+Database[[#This Row],[Pack N]]*$F$15</f>
        <v>6.2243731325739544</v>
      </c>
      <c r="W53" s="32">
        <v>0.14000000000000001</v>
      </c>
      <c r="X53" s="32">
        <v>0.15</v>
      </c>
      <c r="Y53" s="32">
        <v>7.0000000000000007E-2</v>
      </c>
      <c r="Z53" s="32">
        <v>0.13</v>
      </c>
      <c r="AA53" s="32">
        <v>0</v>
      </c>
      <c r="AB53" s="32">
        <v>0</v>
      </c>
      <c r="AC53" s="32">
        <v>0</v>
      </c>
      <c r="AD53" s="32">
        <v>0.1</v>
      </c>
      <c r="AE53" s="32">
        <v>0</v>
      </c>
      <c r="AF53" s="32">
        <v>0.02</v>
      </c>
      <c r="AG53" s="32">
        <v>0</v>
      </c>
      <c r="AH53" s="32">
        <v>0</v>
      </c>
      <c r="AI53" s="32">
        <v>0.01</v>
      </c>
      <c r="AJ53" s="32">
        <v>0</v>
      </c>
    </row>
    <row r="54" spans="2:36" x14ac:dyDescent="0.2">
      <c r="B54" t="s">
        <v>120</v>
      </c>
      <c r="C54" t="s">
        <v>121</v>
      </c>
      <c r="D54" t="s">
        <v>76</v>
      </c>
      <c r="E54" s="20">
        <f>((Database[[#This Row],[Raw Score]]-MIN(Database[Raw Score]))/(MAX(Database[Raw Score])-MIN(Database[Raw Score])))*10</f>
        <v>5.9729737155575311</v>
      </c>
      <c r="F54" s="34">
        <v>3.79</v>
      </c>
      <c r="G54" s="27" t="s">
        <v>23</v>
      </c>
      <c r="H54" s="30" t="s">
        <v>26</v>
      </c>
      <c r="I54" s="40">
        <v>160</v>
      </c>
      <c r="J54" s="37">
        <f>Database[[#This Row],[g]]/6</f>
        <v>28.333333333333332</v>
      </c>
      <c r="K54" s="38">
        <v>170</v>
      </c>
      <c r="L54" s="9">
        <f>IF(Database[[#This Row],[g]],Database[[#This Row],[C]]/Database[[#This Row],[Lb]],0)</f>
        <v>2561.4627952941182</v>
      </c>
      <c r="M54" s="9">
        <f>IF(Database[[#This Row],[$]], Database[[#This Row],[C]]/Database[[#This Row],[$]],0)</f>
        <v>253.29815303430081</v>
      </c>
      <c r="N54" s="25">
        <f>IF(OR(ISBLANK(Database[[#This Row],[Air]]),ISBLANK(Database[[#This Row],[Flex]])),0,VLOOKUP(Database[[#This Row],[Flex]],FlexScore[],2,FALSE)+VLOOKUP(Database[[#This Row],[Air]],AirScore[],2,FALSE))</f>
        <v>2</v>
      </c>
      <c r="O54" s="25">
        <f>Database[[#This Row],[g]]/Database[[#This Row],[g/S]]</f>
        <v>6</v>
      </c>
      <c r="P54" s="42">
        <f>IF(Database[[#This Row],[g]],Database[[#This Row],[g]]/453.59237,0)</f>
        <v>0.37478584571429185</v>
      </c>
      <c r="Q54" s="10">
        <f>Database[[#This Row],[Lb]]*16</f>
        <v>5.9965735314286697</v>
      </c>
      <c r="R54" s="9">
        <f>IF(Database[[#This Row],[g]],(Database[[#This Row],[C/S]]/Database[[#This Row],[g/S]])*Database[[#This Row],[g]],0)</f>
        <v>960.00000000000011</v>
      </c>
      <c r="S54" s="11">
        <f>_xlfn.NORM.DIST(Database[[#This Row],[C/Lb]],$L$127,$L$128,TRUE)</f>
        <v>0.81677950835078983</v>
      </c>
      <c r="T54" s="12">
        <f>_xlfn.NORM.DIST(Database[[#This Row],[Pack]],$N$127,$N$128,TRUE)</f>
        <v>4.0096492533184723E-2</v>
      </c>
      <c r="U54" s="11">
        <f>_xlfn.NORM.DIST(Database[[#This Row],[C/$]],$M$127,$M$128,TRUE)</f>
        <v>0.41013105044996406</v>
      </c>
      <c r="V54" s="11">
        <f>Database[[#This Row],[C/Lb N]]*$F$14+Database[[#This Row],[C/$ N]]*$F$16+Database[[#This Row],[Pack N]]*$F$15</f>
        <v>6.2112631865210002</v>
      </c>
      <c r="W54" s="32">
        <v>0.17</v>
      </c>
      <c r="X54" s="32">
        <v>0.05</v>
      </c>
      <c r="Y54" s="32">
        <v>0</v>
      </c>
      <c r="Z54" s="32">
        <v>0.03</v>
      </c>
      <c r="AA54" s="32">
        <v>0.03</v>
      </c>
      <c r="AB54" s="32">
        <v>0.09</v>
      </c>
      <c r="AC54" s="32">
        <v>0.09</v>
      </c>
      <c r="AD54" s="32">
        <v>0.1</v>
      </c>
      <c r="AE54" s="32">
        <v>0</v>
      </c>
      <c r="AF54" s="32">
        <v>0</v>
      </c>
      <c r="AG54" s="32">
        <v>0</v>
      </c>
      <c r="AH54" s="32">
        <v>0.06</v>
      </c>
      <c r="AI54" s="32">
        <v>0.04</v>
      </c>
      <c r="AJ54" s="32">
        <v>0.04</v>
      </c>
    </row>
    <row r="55" spans="2:36" x14ac:dyDescent="0.2">
      <c r="B55" t="s">
        <v>93</v>
      </c>
      <c r="C55" t="s">
        <v>122</v>
      </c>
      <c r="D55" t="s">
        <v>71</v>
      </c>
      <c r="E55" s="20">
        <f>((Database[[#This Row],[Raw Score]]-MIN(Database[Raw Score]))/(MAX(Database[Raw Score])-MIN(Database[Raw Score])))*10</f>
        <v>5.7760902713289717</v>
      </c>
      <c r="F55" s="21">
        <v>3.79</v>
      </c>
      <c r="G55" s="27" t="s">
        <v>17</v>
      </c>
      <c r="H55" s="27" t="s">
        <v>27</v>
      </c>
      <c r="I55" s="22">
        <v>190</v>
      </c>
      <c r="J55" s="37">
        <v>43</v>
      </c>
      <c r="K55" s="38">
        <v>344</v>
      </c>
      <c r="L55" s="9">
        <f>IF(Database[[#This Row],[g]],Database[[#This Row],[C]]/Database[[#This Row],[Lb]],0)</f>
        <v>2004.2453558139537</v>
      </c>
      <c r="M55" s="9">
        <f>IF(Database[[#This Row],[$]], Database[[#This Row],[C]]/Database[[#This Row],[$]],0)</f>
        <v>401.05540897097626</v>
      </c>
      <c r="N55" s="25">
        <f>IF(OR(ISBLANK(Database[[#This Row],[Air]]),ISBLANK(Database[[#This Row],[Flex]])),0,VLOOKUP(Database[[#This Row],[Flex]],FlexScore[],2,FALSE)+VLOOKUP(Database[[#This Row],[Air]],AirScore[],2,FALSE))</f>
        <v>5</v>
      </c>
      <c r="O55" s="25">
        <f>Database[[#This Row],[g]]/Database[[#This Row],[g/S]]</f>
        <v>8</v>
      </c>
      <c r="P55" s="42">
        <f>IF(Database[[#This Row],[g]],Database[[#This Row],[g]]/453.59237,0)</f>
        <v>0.75839018191597884</v>
      </c>
      <c r="Q55" s="10">
        <f>Database[[#This Row],[Lb]]*16</f>
        <v>12.134242910655662</v>
      </c>
      <c r="R55" s="9">
        <f>IF(Database[[#This Row],[g]],(Database[[#This Row],[C/S]]/Database[[#This Row],[g/S]])*Database[[#This Row],[g]],0)</f>
        <v>1520</v>
      </c>
      <c r="S55" s="11">
        <f>_xlfn.NORM.DIST(Database[[#This Row],[C/Lb]],$L$127,$L$128,TRUE)</f>
        <v>0.53608783603240484</v>
      </c>
      <c r="T55" s="12">
        <f>_xlfn.NORM.DIST(Database[[#This Row],[Pack]],$N$127,$N$128,TRUE)</f>
        <v>0.48330687382898091</v>
      </c>
      <c r="U55" s="11">
        <f>_xlfn.NORM.DIST(Database[[#This Row],[C/$]],$M$127,$M$128,TRUE)</f>
        <v>0.63077312756771686</v>
      </c>
      <c r="V55" s="11">
        <f>Database[[#This Row],[C/Lb N]]*$F$14+Database[[#This Row],[C/$ N]]*$F$16+Database[[#This Row],[Pack N]]*$F$15</f>
        <v>6.0754601465555416</v>
      </c>
      <c r="W55" s="32">
        <v>0.1</v>
      </c>
      <c r="X55" s="32">
        <v>0.08</v>
      </c>
      <c r="Y55" s="32">
        <v>0</v>
      </c>
      <c r="Z55" s="32">
        <v>0.13</v>
      </c>
      <c r="AA55" s="32">
        <v>0.09</v>
      </c>
      <c r="AB55" s="32">
        <v>0.11</v>
      </c>
      <c r="AC55" s="32">
        <v>0.08</v>
      </c>
      <c r="AD55" s="32">
        <v>0.08</v>
      </c>
      <c r="AE55" s="32">
        <v>0</v>
      </c>
      <c r="AF55" s="32">
        <v>0</v>
      </c>
      <c r="AG55" s="32">
        <v>0</v>
      </c>
      <c r="AH55" s="32">
        <v>0</v>
      </c>
      <c r="AI55" s="32">
        <v>0.08</v>
      </c>
      <c r="AJ55" s="32">
        <v>0.02</v>
      </c>
    </row>
    <row r="56" spans="2:36" x14ac:dyDescent="0.2">
      <c r="B56" t="s">
        <v>123</v>
      </c>
      <c r="C56" t="s">
        <v>124</v>
      </c>
      <c r="D56" t="s">
        <v>73</v>
      </c>
      <c r="E56" s="20">
        <f>((Database[[#This Row],[Raw Score]]-MIN(Database[Raw Score]))/(MAX(Database[Raw Score])-MIN(Database[Raw Score])))*10</f>
        <v>5.7612824243777503</v>
      </c>
      <c r="F56" s="34">
        <v>26.99</v>
      </c>
      <c r="G56" s="27" t="s">
        <v>17</v>
      </c>
      <c r="H56" s="30" t="s">
        <v>16</v>
      </c>
      <c r="I56" s="40">
        <v>200</v>
      </c>
      <c r="J56" s="37">
        <v>50</v>
      </c>
      <c r="K56" s="38">
        <v>2268</v>
      </c>
      <c r="L56" s="9">
        <f>IF(Database[[#This Row],[g]],Database[[#This Row],[C]]/Database[[#This Row],[Lb]],0)</f>
        <v>1814.3694800000001</v>
      </c>
      <c r="M56" s="9">
        <f>IF(Database[[#This Row],[$]], Database[[#This Row],[C]]/Database[[#This Row],[$]],0)</f>
        <v>336.12449055205633</v>
      </c>
      <c r="N56" s="25">
        <f>IF(OR(ISBLANK(Database[[#This Row],[Air]]),ISBLANK(Database[[#This Row],[Flex]])),0,VLOOKUP(Database[[#This Row],[Flex]],FlexScore[],2,FALSE)+VLOOKUP(Database[[#This Row],[Air]],AirScore[],2,FALSE))</f>
        <v>8</v>
      </c>
      <c r="O56" s="25">
        <f>Database[[#This Row],[g]]/Database[[#This Row],[g/S]]</f>
        <v>45.36</v>
      </c>
      <c r="P56" s="42">
        <f>IF(Database[[#This Row],[g]],Database[[#This Row],[g]]/453.59237,0)</f>
        <v>5.0000841063530235</v>
      </c>
      <c r="Q56" s="10">
        <f>Database[[#This Row],[Lb]]*16</f>
        <v>80.001345701648376</v>
      </c>
      <c r="R56" s="9">
        <f>IF(Database[[#This Row],[g]],(Database[[#This Row],[C/S]]/Database[[#This Row],[g/S]])*Database[[#This Row],[g]],0)</f>
        <v>9072</v>
      </c>
      <c r="S56" s="11">
        <f>_xlfn.NORM.DIST(Database[[#This Row],[C/Lb]],$L$127,$L$128,TRUE)</f>
        <v>0.4261011667737058</v>
      </c>
      <c r="T56" s="12">
        <f>_xlfn.NORM.DIST(Database[[#This Row],[Pack]],$N$127,$N$128,TRUE)</f>
        <v>0.95212895676000608</v>
      </c>
      <c r="U56" s="11">
        <f>_xlfn.NORM.DIST(Database[[#This Row],[C/$]],$M$127,$M$128,TRUE)</f>
        <v>0.53479377268950312</v>
      </c>
      <c r="V56" s="11">
        <f>Database[[#This Row],[C/Lb N]]*$F$14+Database[[#This Row],[C/$ N]]*$F$16+Database[[#This Row],[Pack N]]*$F$15</f>
        <v>6.0652462322307565</v>
      </c>
      <c r="W56" s="32">
        <v>0.05</v>
      </c>
      <c r="X56" s="32">
        <v>0.1</v>
      </c>
      <c r="Y56" s="32">
        <v>0.35</v>
      </c>
      <c r="Z56" s="32">
        <v>0.09</v>
      </c>
      <c r="AA56" s="32">
        <v>0.03</v>
      </c>
      <c r="AB56" s="32">
        <v>0.03</v>
      </c>
      <c r="AC56" s="32">
        <v>0</v>
      </c>
      <c r="AD56" s="32">
        <v>0.6</v>
      </c>
      <c r="AE56" s="32">
        <v>0</v>
      </c>
      <c r="AF56" s="32">
        <v>0</v>
      </c>
      <c r="AG56" s="32">
        <v>0</v>
      </c>
      <c r="AH56" s="32">
        <v>0.12</v>
      </c>
      <c r="AI56" s="32">
        <v>0.06</v>
      </c>
      <c r="AJ56" s="32">
        <v>7.0000000000000007E-2</v>
      </c>
    </row>
    <row r="57" spans="2:36" x14ac:dyDescent="0.2">
      <c r="B57" t="s">
        <v>125</v>
      </c>
      <c r="C57" t="s">
        <v>126</v>
      </c>
      <c r="D57" t="s">
        <v>76</v>
      </c>
      <c r="E57" s="20">
        <f>((Database[[#This Row],[Raw Score]]-MIN(Database[Raw Score]))/(MAX(Database[Raw Score])-MIN(Database[Raw Score])))*10</f>
        <v>5.7115785219293436</v>
      </c>
      <c r="F57" s="34">
        <v>3.69</v>
      </c>
      <c r="G57" s="27" t="s">
        <v>20</v>
      </c>
      <c r="H57" s="30" t="s">
        <v>26</v>
      </c>
      <c r="I57" s="40">
        <v>150</v>
      </c>
      <c r="J57" s="37">
        <f>Database[[#This Row],[g]]/5</f>
        <v>28.4</v>
      </c>
      <c r="K57" s="38">
        <v>142</v>
      </c>
      <c r="L57" s="9">
        <f>IF(Database[[#This Row],[g]],Database[[#This Row],[C]]/Database[[#This Row],[Lb]],0)</f>
        <v>2395.7343485915494</v>
      </c>
      <c r="M57" s="9">
        <f>IF(Database[[#This Row],[$]], Database[[#This Row],[C]]/Database[[#This Row],[$]],0)</f>
        <v>203.25203252032523</v>
      </c>
      <c r="N57" s="25">
        <f>IF(OR(ISBLANK(Database[[#This Row],[Air]]),ISBLANK(Database[[#This Row],[Flex]])),0,VLOOKUP(Database[[#This Row],[Flex]],FlexScore[],2,FALSE)+VLOOKUP(Database[[#This Row],[Air]],AirScore[],2,FALSE))</f>
        <v>4</v>
      </c>
      <c r="O57" s="25">
        <f>Database[[#This Row],[g]]/Database[[#This Row],[g/S]]</f>
        <v>5</v>
      </c>
      <c r="P57" s="42">
        <f>IF(Database[[#This Row],[g]],Database[[#This Row],[g]]/453.59237,0)</f>
        <v>0.31305641230252618</v>
      </c>
      <c r="Q57" s="10">
        <f>Database[[#This Row],[Lb]]*16</f>
        <v>5.0089025968404188</v>
      </c>
      <c r="R57" s="9">
        <f>IF(Database[[#This Row],[g]],(Database[[#This Row],[C/S]]/Database[[#This Row],[g/S]])*Database[[#This Row],[g]],0)</f>
        <v>750.00000000000011</v>
      </c>
      <c r="S57" s="11">
        <f>_xlfn.NORM.DIST(Database[[#This Row],[C/Lb]],$L$127,$L$128,TRUE)</f>
        <v>0.74584836812583766</v>
      </c>
      <c r="T57" s="12">
        <f>_xlfn.NORM.DIST(Database[[#This Row],[Pack]],$N$127,$N$128,TRUE)</f>
        <v>0.2705690307561387</v>
      </c>
      <c r="U57" s="11">
        <f>_xlfn.NORM.DIST(Database[[#This Row],[C/$]],$M$127,$M$128,TRUE)</f>
        <v>0.33824467252889179</v>
      </c>
      <c r="V57" s="11">
        <f>Database[[#This Row],[C/Lb N]]*$F$14+Database[[#This Row],[C/$ N]]*$F$16+Database[[#This Row],[Pack N]]*$F$15</f>
        <v>6.0309622878539786</v>
      </c>
      <c r="W57" s="32">
        <v>0.13</v>
      </c>
      <c r="X57" s="32">
        <v>0.1</v>
      </c>
      <c r="Y57" s="32">
        <v>0</v>
      </c>
      <c r="Z57" s="32">
        <v>0.41</v>
      </c>
      <c r="AA57" s="32">
        <v>0.03</v>
      </c>
      <c r="AB57" s="32">
        <v>0.21</v>
      </c>
      <c r="AC57" s="32">
        <v>0</v>
      </c>
      <c r="AD57" s="32">
        <v>0</v>
      </c>
      <c r="AE57" s="32">
        <v>0</v>
      </c>
      <c r="AF57" s="32">
        <v>0</v>
      </c>
      <c r="AG57" s="32">
        <v>0</v>
      </c>
      <c r="AH57" s="32">
        <v>0</v>
      </c>
      <c r="AI57" s="32">
        <v>0.1</v>
      </c>
      <c r="AJ57" s="32">
        <v>0.04</v>
      </c>
    </row>
    <row r="58" spans="2:36" x14ac:dyDescent="0.2">
      <c r="B58" t="s">
        <v>127</v>
      </c>
      <c r="C58" t="s">
        <v>128</v>
      </c>
      <c r="D58" t="s">
        <v>86</v>
      </c>
      <c r="E58" s="20">
        <f>((Database[[#This Row],[Raw Score]]-MIN(Database[Raw Score]))/(MAX(Database[Raw Score])-MIN(Database[Raw Score])))*10</f>
        <v>5.693829627194126</v>
      </c>
      <c r="F58" s="21">
        <v>5.99</v>
      </c>
      <c r="G58" s="27" t="s">
        <v>17</v>
      </c>
      <c r="H58" s="27" t="s">
        <v>28</v>
      </c>
      <c r="I58" s="22">
        <v>150</v>
      </c>
      <c r="J58" s="37">
        <v>28</v>
      </c>
      <c r="K58" s="38">
        <v>198</v>
      </c>
      <c r="L58" s="9">
        <f>IF(Database[[#This Row],[g]],Database[[#This Row],[C]]/Database[[#This Row],[Lb]],0)</f>
        <v>2429.9591249999999</v>
      </c>
      <c r="M58" s="9">
        <f>IF(Database[[#This Row],[$]], Database[[#This Row],[C]]/Database[[#This Row],[$]],0)</f>
        <v>177.08084903410443</v>
      </c>
      <c r="N58" s="25">
        <f>IF(OR(ISBLANK(Database[[#This Row],[Air]]),ISBLANK(Database[[#This Row],[Flex]])),0,VLOOKUP(Database[[#This Row],[Flex]],FlexScore[],2,FALSE)+VLOOKUP(Database[[#This Row],[Air]],AirScore[],2,FALSE))</f>
        <v>4</v>
      </c>
      <c r="O58" s="25">
        <f>Database[[#This Row],[g]]/Database[[#This Row],[g/S]]</f>
        <v>7.0714285714285712</v>
      </c>
      <c r="P58" s="42">
        <f>IF(Database[[#This Row],[g]],Database[[#This Row],[g]]/453.59237,0)</f>
        <v>0.43651527912605759</v>
      </c>
      <c r="Q58" s="10">
        <f>Database[[#This Row],[Lb]]*16</f>
        <v>6.9842444660169214</v>
      </c>
      <c r="R58" s="9">
        <f>IF(Database[[#This Row],[g]],(Database[[#This Row],[C/S]]/Database[[#This Row],[g/S]])*Database[[#This Row],[g]],0)</f>
        <v>1060.7142857142856</v>
      </c>
      <c r="S58" s="11">
        <f>_xlfn.NORM.DIST(Database[[#This Row],[C/Lb]],$L$127,$L$128,TRUE)</f>
        <v>0.76157907359027177</v>
      </c>
      <c r="T58" s="12">
        <f>_xlfn.NORM.DIST(Database[[#This Row],[Pack]],$N$127,$N$128,TRUE)</f>
        <v>0.2705690307561387</v>
      </c>
      <c r="U58" s="11">
        <f>_xlfn.NORM.DIST(Database[[#This Row],[C/$]],$M$127,$M$128,TRUE)</f>
        <v>0.30270241422267657</v>
      </c>
      <c r="V58" s="11">
        <f>Database[[#This Row],[C/Lb N]]*$F$14+Database[[#This Row],[C/$ N]]*$F$16+Database[[#This Row],[Pack N]]*$F$15</f>
        <v>6.0187197457219375</v>
      </c>
      <c r="W58" s="32">
        <v>0.09</v>
      </c>
      <c r="X58" s="32">
        <v>0.1</v>
      </c>
      <c r="Y58" s="32">
        <v>0.1</v>
      </c>
      <c r="Z58" s="32">
        <v>0.2</v>
      </c>
      <c r="AA58" s="32">
        <v>0.01</v>
      </c>
      <c r="AB58" s="32">
        <v>0</v>
      </c>
      <c r="AC58" s="32">
        <v>0</v>
      </c>
      <c r="AD58" s="32">
        <v>0.14000000000000001</v>
      </c>
      <c r="AE58" s="32">
        <v>0</v>
      </c>
      <c r="AF58" s="32">
        <v>0.1</v>
      </c>
      <c r="AG58" s="32">
        <v>0</v>
      </c>
      <c r="AH58" s="32">
        <v>0.02</v>
      </c>
      <c r="AI58" s="32">
        <v>0.02</v>
      </c>
      <c r="AJ58" s="32">
        <v>0</v>
      </c>
    </row>
    <row r="59" spans="2:36" x14ac:dyDescent="0.2">
      <c r="B59" t="s">
        <v>118</v>
      </c>
      <c r="C59" t="s">
        <v>129</v>
      </c>
      <c r="D59" t="s">
        <v>86</v>
      </c>
      <c r="E59" s="20">
        <f>((Database[[#This Row],[Raw Score]]-MIN(Database[Raw Score]))/(MAX(Database[Raw Score])-MIN(Database[Raw Score])))*10</f>
        <v>5.6701594717361044</v>
      </c>
      <c r="F59" s="21">
        <v>4.29</v>
      </c>
      <c r="G59" s="27" t="s">
        <v>17</v>
      </c>
      <c r="H59" s="27" t="s">
        <v>25</v>
      </c>
      <c r="I59" s="22">
        <v>140</v>
      </c>
      <c r="J59" s="37">
        <v>30</v>
      </c>
      <c r="K59" s="38">
        <v>141</v>
      </c>
      <c r="L59" s="9">
        <f>IF(Database[[#This Row],[g]],Database[[#This Row],[C]]/Database[[#This Row],[Lb]],0)</f>
        <v>2116.7643933333334</v>
      </c>
      <c r="M59" s="9">
        <f>IF(Database[[#This Row],[$]], Database[[#This Row],[C]]/Database[[#This Row],[$]],0)</f>
        <v>153.37995337995338</v>
      </c>
      <c r="N59" s="25">
        <f>IF(OR(ISBLANK(Database[[#This Row],[Air]]),ISBLANK(Database[[#This Row],[Flex]])),0,VLOOKUP(Database[[#This Row],[Flex]],FlexScore[],2,FALSE)+VLOOKUP(Database[[#This Row],[Air]],AirScore[],2,FALSE))</f>
        <v>6.5</v>
      </c>
      <c r="O59" s="25">
        <f>Database[[#This Row],[g]]/Database[[#This Row],[g/S]]</f>
        <v>4.7</v>
      </c>
      <c r="P59" s="42">
        <f>IF(Database[[#This Row],[g]],Database[[#This Row],[g]]/453.59237,0)</f>
        <v>0.31085178968067739</v>
      </c>
      <c r="Q59" s="10">
        <f>Database[[#This Row],[Lb]]*16</f>
        <v>4.9736286348908383</v>
      </c>
      <c r="R59" s="9">
        <f>IF(Database[[#This Row],[g]],(Database[[#This Row],[C/S]]/Database[[#This Row],[g/S]])*Database[[#This Row],[g]],0)</f>
        <v>658</v>
      </c>
      <c r="S59" s="11">
        <f>_xlfn.NORM.DIST(Database[[#This Row],[C/Lb]],$L$127,$L$128,TRUE)</f>
        <v>0.60050963816701164</v>
      </c>
      <c r="T59" s="12">
        <f>_xlfn.NORM.DIST(Database[[#This Row],[Pack]],$N$127,$N$128,TRUE)</f>
        <v>0.7916042392722078</v>
      </c>
      <c r="U59" s="11">
        <f>_xlfn.NORM.DIST(Database[[#This Row],[C/$]],$M$127,$M$128,TRUE)</f>
        <v>0.27204220857646355</v>
      </c>
      <c r="V59" s="11">
        <f>Database[[#This Row],[C/Lb N]]*$F$14+Database[[#This Row],[C/$ N]]*$F$16+Database[[#This Row],[Pack N]]*$F$15</f>
        <v>6.0023929332758765</v>
      </c>
      <c r="W59" s="32">
        <v>0.2</v>
      </c>
      <c r="X59" s="32">
        <v>0.2</v>
      </c>
      <c r="Y59" s="32">
        <v>0.1</v>
      </c>
      <c r="Z59" s="32">
        <v>0.21</v>
      </c>
      <c r="AA59" s="32">
        <v>0</v>
      </c>
      <c r="AB59" s="32">
        <v>0</v>
      </c>
      <c r="AC59" s="32">
        <v>0</v>
      </c>
      <c r="AD59" s="32">
        <v>0.14000000000000001</v>
      </c>
      <c r="AE59" s="32">
        <v>0</v>
      </c>
      <c r="AF59" s="32">
        <v>0.04</v>
      </c>
      <c r="AG59" s="32">
        <v>0</v>
      </c>
      <c r="AH59" s="32">
        <v>0</v>
      </c>
      <c r="AI59" s="32">
        <v>0.02</v>
      </c>
      <c r="AJ59" s="32">
        <v>0</v>
      </c>
    </row>
    <row r="60" spans="2:36" x14ac:dyDescent="0.2">
      <c r="B60" t="s">
        <v>130</v>
      </c>
      <c r="C60" t="s">
        <v>244</v>
      </c>
      <c r="D60" t="s">
        <v>77</v>
      </c>
      <c r="E60" s="20">
        <f>((Database[[#This Row],[Raw Score]]-MIN(Database[Raw Score]))/(MAX(Database[Raw Score])-MIN(Database[Raw Score])))*10</f>
        <v>5.6124057672279237</v>
      </c>
      <c r="F60" s="34">
        <v>13.95</v>
      </c>
      <c r="G60" s="27" t="s">
        <v>20</v>
      </c>
      <c r="H60" s="30" t="s">
        <v>24</v>
      </c>
      <c r="I60" s="40">
        <v>430</v>
      </c>
      <c r="J60" s="37">
        <v>76</v>
      </c>
      <c r="K60" s="38">
        <v>152</v>
      </c>
      <c r="L60" s="9">
        <f>IF(Database[[#This Row],[g]],Database[[#This Row],[C]]/Database[[#This Row],[Lb]],0)</f>
        <v>2566.377882894737</v>
      </c>
      <c r="M60" s="9">
        <f>IF(Database[[#This Row],[$]], Database[[#This Row],[C]]/Database[[#This Row],[$]],0)</f>
        <v>61.648745519713266</v>
      </c>
      <c r="N60" s="25">
        <f>IF(OR(ISBLANK(Database[[#This Row],[Air]]),ISBLANK(Database[[#This Row],[Flex]])),0,VLOOKUP(Database[[#This Row],[Flex]],FlexScore[],2,FALSE)+VLOOKUP(Database[[#This Row],[Air]],AirScore[],2,FALSE))</f>
        <v>4</v>
      </c>
      <c r="O60" s="25">
        <f>Database[[#This Row],[g]]/Database[[#This Row],[g/S]]</f>
        <v>2</v>
      </c>
      <c r="P60" s="42">
        <f>IF(Database[[#This Row],[g]],Database[[#This Row],[g]]/453.59237,0)</f>
        <v>0.33510263852101391</v>
      </c>
      <c r="Q60" s="10">
        <f>Database[[#This Row],[Lb]]*16</f>
        <v>5.3616422163362225</v>
      </c>
      <c r="R60" s="9">
        <f>IF(Database[[#This Row],[g]],(Database[[#This Row],[C/S]]/Database[[#This Row],[g/S]])*Database[[#This Row],[g]],0)</f>
        <v>860</v>
      </c>
      <c r="S60" s="11">
        <f>_xlfn.NORM.DIST(Database[[#This Row],[C/Lb]],$L$127,$L$128,TRUE)</f>
        <v>0.81867510617042671</v>
      </c>
      <c r="T60" s="12">
        <f>_xlfn.NORM.DIST(Database[[#This Row],[Pack]],$N$127,$N$128,TRUE)</f>
        <v>0.2705690307561387</v>
      </c>
      <c r="U60" s="11">
        <f>_xlfn.NORM.DIST(Database[[#This Row],[C/$]],$M$127,$M$128,TRUE)</f>
        <v>0.1697892765475115</v>
      </c>
      <c r="V60" s="11">
        <f>Database[[#This Row],[C/Lb N]]*$F$14+Database[[#This Row],[C/$ N]]*$F$16+Database[[#This Row],[Pack N]]*$F$15</f>
        <v>5.9625565281773714</v>
      </c>
      <c r="W60" s="32">
        <v>0.28000000000000003</v>
      </c>
      <c r="X60" s="32">
        <v>0.75</v>
      </c>
      <c r="Y60" s="32">
        <v>0.17</v>
      </c>
      <c r="Z60" s="32">
        <v>0.21</v>
      </c>
      <c r="AA60" s="32">
        <v>0.12</v>
      </c>
      <c r="AB60" s="32">
        <v>0.11</v>
      </c>
      <c r="AC60" s="32">
        <v>0.06</v>
      </c>
      <c r="AD60" s="32">
        <v>0.44</v>
      </c>
      <c r="AE60" s="32">
        <v>0</v>
      </c>
      <c r="AF60" s="32">
        <v>0</v>
      </c>
      <c r="AG60" s="32">
        <v>0</v>
      </c>
      <c r="AH60" s="32">
        <v>0.04</v>
      </c>
      <c r="AI60" s="32">
        <v>0.15</v>
      </c>
      <c r="AJ60" s="32">
        <v>0.1</v>
      </c>
    </row>
    <row r="61" spans="2:36" x14ac:dyDescent="0.2">
      <c r="B61" t="s">
        <v>131</v>
      </c>
      <c r="C61" t="s">
        <v>132</v>
      </c>
      <c r="D61" t="s">
        <v>242</v>
      </c>
      <c r="E61" s="20">
        <f>((Database[[#This Row],[Raw Score]]-MIN(Database[Raw Score]))/(MAX(Database[Raw Score])-MIN(Database[Raw Score])))*10</f>
        <v>5.5696635413607645</v>
      </c>
      <c r="F61" s="34">
        <v>1.49</v>
      </c>
      <c r="G61" s="27" t="s">
        <v>17</v>
      </c>
      <c r="H61" s="30" t="s">
        <v>28</v>
      </c>
      <c r="I61" s="40">
        <v>130</v>
      </c>
      <c r="J61" s="37">
        <f>Database[[#This Row],[g]]/2.5</f>
        <v>25.2</v>
      </c>
      <c r="K61" s="38">
        <v>63</v>
      </c>
      <c r="L61" s="9">
        <f>IF(Database[[#This Row],[g]],Database[[#This Row],[C]]/Database[[#This Row],[Lb]],0)</f>
        <v>2339.9606388888888</v>
      </c>
      <c r="M61" s="9">
        <f>IF(Database[[#This Row],[$]], Database[[#This Row],[C]]/Database[[#This Row],[$]],0)</f>
        <v>218.12080536912751</v>
      </c>
      <c r="N61" s="25">
        <f>IF(OR(ISBLANK(Database[[#This Row],[Air]]),ISBLANK(Database[[#This Row],[Flex]])),0,VLOOKUP(Database[[#This Row],[Flex]],FlexScore[],2,FALSE)+VLOOKUP(Database[[#This Row],[Air]],AirScore[],2,FALSE))</f>
        <v>4</v>
      </c>
      <c r="O61" s="25">
        <f>Database[[#This Row],[g]]/Database[[#This Row],[g/S]]</f>
        <v>2.5</v>
      </c>
      <c r="P61" s="42">
        <f>IF(Database[[#This Row],[g]],Database[[#This Row],[g]]/453.59237,0)</f>
        <v>0.13889122517647287</v>
      </c>
      <c r="Q61" s="10">
        <f>Database[[#This Row],[Lb]]*16</f>
        <v>2.2222596028235659</v>
      </c>
      <c r="R61" s="9">
        <f>IF(Database[[#This Row],[g]],(Database[[#This Row],[C/S]]/Database[[#This Row],[g/S]])*Database[[#This Row],[g]],0)</f>
        <v>325</v>
      </c>
      <c r="S61" s="11">
        <f>_xlfn.NORM.DIST(Database[[#This Row],[C/Lb]],$L$127,$L$128,TRUE)</f>
        <v>0.71909274533073864</v>
      </c>
      <c r="T61" s="12">
        <f>_xlfn.NORM.DIST(Database[[#This Row],[Pack]],$N$127,$N$128,TRUE)</f>
        <v>0.2705690307561387</v>
      </c>
      <c r="U61" s="11">
        <f>_xlfn.NORM.DIST(Database[[#This Row],[C/$]],$M$127,$M$128,TRUE)</f>
        <v>0.35912665388043213</v>
      </c>
      <c r="V61" s="11">
        <f>Database[[#This Row],[C/Lb N]]*$F$14+Database[[#This Row],[C/$ N]]*$F$16+Database[[#This Row],[Pack N]]*$F$15</f>
        <v>5.9330744951380057</v>
      </c>
      <c r="W61" s="32">
        <v>0.11</v>
      </c>
      <c r="X61" s="32">
        <v>0.27</v>
      </c>
      <c r="Y61" s="32">
        <v>0.01</v>
      </c>
      <c r="Z61" s="32">
        <v>0</v>
      </c>
      <c r="AA61" s="32">
        <v>0.06</v>
      </c>
      <c r="AB61" s="32">
        <v>0.06</v>
      </c>
      <c r="AC61" s="32">
        <v>0.26</v>
      </c>
      <c r="AD61" s="32">
        <v>0.02</v>
      </c>
      <c r="AE61" s="32">
        <v>0</v>
      </c>
      <c r="AF61" s="32">
        <v>0</v>
      </c>
      <c r="AG61" s="32">
        <v>0</v>
      </c>
      <c r="AH61" s="32">
        <v>0</v>
      </c>
      <c r="AI61" s="32">
        <v>0.1</v>
      </c>
      <c r="AJ61" s="32">
        <v>0.02</v>
      </c>
    </row>
    <row r="62" spans="2:36" x14ac:dyDescent="0.2">
      <c r="B62" t="s">
        <v>131</v>
      </c>
      <c r="C62" t="s">
        <v>133</v>
      </c>
      <c r="D62" t="s">
        <v>242</v>
      </c>
      <c r="E62" s="20">
        <f>((Database[[#This Row],[Raw Score]]-MIN(Database[Raw Score]))/(MAX(Database[Raw Score])-MIN(Database[Raw Score])))*10</f>
        <v>5.5696635413607645</v>
      </c>
      <c r="F62" s="34">
        <v>1.49</v>
      </c>
      <c r="G62" s="27" t="s">
        <v>17</v>
      </c>
      <c r="H62" s="30" t="s">
        <v>28</v>
      </c>
      <c r="I62" s="40">
        <v>130</v>
      </c>
      <c r="J62" s="37">
        <f>Database[[#This Row],[g]]/2.5</f>
        <v>25.2</v>
      </c>
      <c r="K62" s="38">
        <v>63</v>
      </c>
      <c r="L62" s="9">
        <f>IF(Database[[#This Row],[g]],Database[[#This Row],[C]]/Database[[#This Row],[Lb]],0)</f>
        <v>2339.9606388888888</v>
      </c>
      <c r="M62" s="9">
        <f>IF(Database[[#This Row],[$]], Database[[#This Row],[C]]/Database[[#This Row],[$]],0)</f>
        <v>218.12080536912751</v>
      </c>
      <c r="N62" s="25">
        <f>IF(OR(ISBLANK(Database[[#This Row],[Air]]),ISBLANK(Database[[#This Row],[Flex]])),0,VLOOKUP(Database[[#This Row],[Flex]],FlexScore[],2,FALSE)+VLOOKUP(Database[[#This Row],[Air]],AirScore[],2,FALSE))</f>
        <v>4</v>
      </c>
      <c r="O62" s="25">
        <f>Database[[#This Row],[g]]/Database[[#This Row],[g/S]]</f>
        <v>2.5</v>
      </c>
      <c r="P62" s="42">
        <f>IF(Database[[#This Row],[g]],Database[[#This Row],[g]]/453.59237,0)</f>
        <v>0.13889122517647287</v>
      </c>
      <c r="Q62" s="10">
        <f>Database[[#This Row],[Lb]]*16</f>
        <v>2.2222596028235659</v>
      </c>
      <c r="R62" s="9">
        <f>IF(Database[[#This Row],[g]],(Database[[#This Row],[C/S]]/Database[[#This Row],[g/S]])*Database[[#This Row],[g]],0)</f>
        <v>325</v>
      </c>
      <c r="S62" s="11">
        <f>_xlfn.NORM.DIST(Database[[#This Row],[C/Lb]],$L$127,$L$128,TRUE)</f>
        <v>0.71909274533073864</v>
      </c>
      <c r="T62" s="12">
        <f>_xlfn.NORM.DIST(Database[[#This Row],[Pack]],$N$127,$N$128,TRUE)</f>
        <v>0.2705690307561387</v>
      </c>
      <c r="U62" s="11">
        <f>_xlfn.NORM.DIST(Database[[#This Row],[C/$]],$M$127,$M$128,TRUE)</f>
        <v>0.35912665388043213</v>
      </c>
      <c r="V62" s="11">
        <f>Database[[#This Row],[C/Lb N]]*$F$14+Database[[#This Row],[C/$ N]]*$F$16+Database[[#This Row],[Pack N]]*$F$15</f>
        <v>5.9330744951380057</v>
      </c>
      <c r="W62" s="32">
        <v>0.09</v>
      </c>
      <c r="X62" s="32">
        <v>0.23</v>
      </c>
      <c r="Y62" s="32">
        <v>0</v>
      </c>
      <c r="Z62" s="32">
        <v>0.01</v>
      </c>
      <c r="AA62" s="32">
        <v>0.06</v>
      </c>
      <c r="AB62" s="32">
        <v>0</v>
      </c>
      <c r="AC62" s="32">
        <v>0.26</v>
      </c>
      <c r="AD62" s="32">
        <v>0.04</v>
      </c>
      <c r="AE62" s="32">
        <v>0</v>
      </c>
      <c r="AF62" s="32">
        <v>0</v>
      </c>
      <c r="AG62" s="32">
        <v>0</v>
      </c>
      <c r="AH62" s="32">
        <v>0.04</v>
      </c>
      <c r="AI62" s="32">
        <v>0.06</v>
      </c>
      <c r="AJ62" s="32">
        <v>0.02</v>
      </c>
    </row>
    <row r="63" spans="2:36" x14ac:dyDescent="0.2">
      <c r="B63" t="s">
        <v>134</v>
      </c>
      <c r="C63" t="s">
        <v>135</v>
      </c>
      <c r="D63" t="s">
        <v>242</v>
      </c>
      <c r="E63" s="20">
        <f>((Database[[#This Row],[Raw Score]]-MIN(Database[Raw Score]))/(MAX(Database[Raw Score])-MIN(Database[Raw Score])))*10</f>
        <v>5.5681955359666269</v>
      </c>
      <c r="F63" s="21">
        <v>2.69</v>
      </c>
      <c r="G63" s="27" t="s">
        <v>17</v>
      </c>
      <c r="H63" s="27" t="s">
        <v>28</v>
      </c>
      <c r="I63" s="22">
        <v>400</v>
      </c>
      <c r="J63" s="37">
        <v>96</v>
      </c>
      <c r="K63" s="38">
        <v>384</v>
      </c>
      <c r="L63" s="9">
        <f>IF(Database[[#This Row],[g]],Database[[#This Row],[C]]/Database[[#This Row],[Lb]],0)</f>
        <v>1889.9682083333335</v>
      </c>
      <c r="M63" s="9">
        <f>IF(Database[[#This Row],[$]], Database[[#This Row],[C]]/Database[[#This Row],[$]],0)</f>
        <v>594.79553903345732</v>
      </c>
      <c r="N63" s="25">
        <f>IF(OR(ISBLANK(Database[[#This Row],[Air]]),ISBLANK(Database[[#This Row],[Flex]])),0,VLOOKUP(Database[[#This Row],[Flex]],FlexScore[],2,FALSE)+VLOOKUP(Database[[#This Row],[Air]],AirScore[],2,FALSE))</f>
        <v>4</v>
      </c>
      <c r="O63" s="25">
        <f>Database[[#This Row],[g]]/Database[[#This Row],[g/S]]</f>
        <v>4</v>
      </c>
      <c r="P63" s="42">
        <f>IF(Database[[#This Row],[g]],Database[[#This Row],[g]]/453.59237,0)</f>
        <v>0.84657508678992988</v>
      </c>
      <c r="Q63" s="10">
        <f>Database[[#This Row],[Lb]]*16</f>
        <v>13.545201388638878</v>
      </c>
      <c r="R63" s="9">
        <f>IF(Database[[#This Row],[g]],(Database[[#This Row],[C/S]]/Database[[#This Row],[g/S]])*Database[[#This Row],[g]],0)</f>
        <v>1600</v>
      </c>
      <c r="S63" s="11">
        <f>_xlfn.NORM.DIST(Database[[#This Row],[C/Lb]],$L$127,$L$128,TRUE)</f>
        <v>0.46968359462383363</v>
      </c>
      <c r="T63" s="12">
        <f>_xlfn.NORM.DIST(Database[[#This Row],[Pack]],$N$127,$N$128,TRUE)</f>
        <v>0.2705690307561387</v>
      </c>
      <c r="U63" s="11">
        <f>_xlfn.NORM.DIST(Database[[#This Row],[C/$]],$M$127,$M$128,TRUE)</f>
        <v>0.8576074297157783</v>
      </c>
      <c r="V63" s="11">
        <f>Database[[#This Row],[C/Lb N]]*$F$14+Database[[#This Row],[C/$ N]]*$F$16+Database[[#This Row],[Pack N]]*$F$15</f>
        <v>5.9320619184026144</v>
      </c>
      <c r="W63" s="32">
        <v>0.17</v>
      </c>
      <c r="X63" s="32">
        <v>0.23</v>
      </c>
      <c r="Y63" s="32">
        <v>0</v>
      </c>
      <c r="Z63" s="32">
        <v>0.15</v>
      </c>
      <c r="AA63" s="32">
        <v>0.25</v>
      </c>
      <c r="AB63" s="32">
        <v>0.05</v>
      </c>
      <c r="AC63" s="32">
        <v>0.57999999999999996</v>
      </c>
      <c r="AD63" s="32">
        <v>0.08</v>
      </c>
      <c r="AE63" s="32">
        <v>0</v>
      </c>
      <c r="AF63" s="32">
        <v>0</v>
      </c>
      <c r="AG63" s="32">
        <v>0</v>
      </c>
      <c r="AH63" s="32">
        <v>0</v>
      </c>
      <c r="AI63" s="32">
        <v>0.08</v>
      </c>
      <c r="AJ63" s="32">
        <v>0</v>
      </c>
    </row>
    <row r="64" spans="2:36" x14ac:dyDescent="0.2">
      <c r="B64" t="s">
        <v>68</v>
      </c>
      <c r="C64" t="s">
        <v>136</v>
      </c>
      <c r="D64" t="s">
        <v>79</v>
      </c>
      <c r="E64" s="20">
        <f>((Database[[#This Row],[Raw Score]]-MIN(Database[Raw Score]))/(MAX(Database[Raw Score])-MIN(Database[Raw Score])))*10</f>
        <v>5.2600577532612958</v>
      </c>
      <c r="F64" s="21">
        <v>2.79</v>
      </c>
      <c r="G64" s="27" t="s">
        <v>17</v>
      </c>
      <c r="H64" s="27" t="s">
        <v>19</v>
      </c>
      <c r="I64" s="39">
        <v>140</v>
      </c>
      <c r="J64" s="37">
        <v>40</v>
      </c>
      <c r="K64" s="38">
        <v>340</v>
      </c>
      <c r="L64" s="9">
        <f>IF(Database[[#This Row],[g]],Database[[#This Row],[C]]/Database[[#This Row],[Lb]],0)</f>
        <v>1587.5732950000001</v>
      </c>
      <c r="M64" s="9">
        <f>IF(Database[[#This Row],[$]], Database[[#This Row],[C]]/Database[[#This Row],[$]],0)</f>
        <v>426.52329749103944</v>
      </c>
      <c r="N64" s="25">
        <f>IF(OR(ISBLANK(Database[[#This Row],[Air]]),ISBLANK(Database[[#This Row],[Flex]])),0,VLOOKUP(Database[[#This Row],[Flex]],FlexScore[],2,FALSE)+VLOOKUP(Database[[#This Row],[Air]],AirScore[],2,FALSE))</f>
        <v>8</v>
      </c>
      <c r="O64" s="25">
        <f>Database[[#This Row],[g]]/Database[[#This Row],[g/S]]</f>
        <v>8.5</v>
      </c>
      <c r="P64" s="42">
        <f>IF(Database[[#This Row],[g]],Database[[#This Row],[g]]/453.59237,0)</f>
        <v>0.74957169142858371</v>
      </c>
      <c r="Q64" s="10">
        <f>Database[[#This Row],[Lb]]*16</f>
        <v>11.993147062857339</v>
      </c>
      <c r="R64" s="9">
        <f>IF(Database[[#This Row],[g]],(Database[[#This Row],[C/S]]/Database[[#This Row],[g/S]])*Database[[#This Row],[g]],0)</f>
        <v>1190</v>
      </c>
      <c r="S64" s="11">
        <f>_xlfn.NORM.DIST(Database[[#This Row],[C/Lb]],$L$127,$L$128,TRUE)</f>
        <v>0.30256381985835035</v>
      </c>
      <c r="T64" s="12">
        <f>_xlfn.NORM.DIST(Database[[#This Row],[Pack]],$N$127,$N$128,TRUE)</f>
        <v>0.95212895676000608</v>
      </c>
      <c r="U64" s="11">
        <f>_xlfn.NORM.DIST(Database[[#This Row],[C/$]],$M$127,$M$128,TRUE)</f>
        <v>0.66662628298702498</v>
      </c>
      <c r="V64" s="11">
        <f>Database[[#This Row],[C/Lb N]]*$F$14+Database[[#This Row],[C/$ N]]*$F$16+Database[[#This Row],[Pack N]]*$F$15</f>
        <v>5.7195196816311888</v>
      </c>
      <c r="W64" s="32">
        <v>0</v>
      </c>
      <c r="X64" s="32">
        <v>0</v>
      </c>
      <c r="Y64" s="32">
        <v>0</v>
      </c>
      <c r="Z64" s="32">
        <v>0</v>
      </c>
      <c r="AA64" s="32">
        <v>0.12</v>
      </c>
      <c r="AB64" s="32">
        <v>0.04</v>
      </c>
      <c r="AC64" s="32">
        <v>0</v>
      </c>
      <c r="AD64" s="32">
        <v>0.02</v>
      </c>
      <c r="AE64" s="32">
        <v>0</v>
      </c>
      <c r="AF64" s="32">
        <v>0</v>
      </c>
      <c r="AG64" s="32">
        <v>0</v>
      </c>
      <c r="AH64" s="32">
        <v>0.02</v>
      </c>
      <c r="AI64" s="32">
        <v>0.04</v>
      </c>
      <c r="AJ64" s="32">
        <v>0.06</v>
      </c>
    </row>
    <row r="65" spans="2:36" x14ac:dyDescent="0.2">
      <c r="B65" t="s">
        <v>137</v>
      </c>
      <c r="C65" t="s">
        <v>138</v>
      </c>
      <c r="D65" t="s">
        <v>100</v>
      </c>
      <c r="E65" s="20">
        <f>((Database[[#This Row],[Raw Score]]-MIN(Database[Raw Score]))/(MAX(Database[Raw Score])-MIN(Database[Raw Score])))*10</f>
        <v>5.1927511854143162</v>
      </c>
      <c r="F65" s="21">
        <v>0.72</v>
      </c>
      <c r="G65" s="27" t="s">
        <v>17</v>
      </c>
      <c r="H65" s="27" t="s">
        <v>28</v>
      </c>
      <c r="I65" s="22">
        <v>150</v>
      </c>
      <c r="J65" s="37">
        <v>30</v>
      </c>
      <c r="K65" s="38">
        <v>30</v>
      </c>
      <c r="L65" s="9">
        <f>IF(Database[[#This Row],[g]],Database[[#This Row],[C]]/Database[[#This Row],[Lb]],0)</f>
        <v>2267.9618500000001</v>
      </c>
      <c r="M65" s="9">
        <f>IF(Database[[#This Row],[$]], Database[[#This Row],[C]]/Database[[#This Row],[$]],0)</f>
        <v>208.33333333333334</v>
      </c>
      <c r="N65" s="25">
        <f>IF(OR(ISBLANK(Database[[#This Row],[Air]]),ISBLANK(Database[[#This Row],[Flex]])),0,VLOOKUP(Database[[#This Row],[Flex]],FlexScore[],2,FALSE)+VLOOKUP(Database[[#This Row],[Air]],AirScore[],2,FALSE))</f>
        <v>4</v>
      </c>
      <c r="O65" s="25">
        <f>Database[[#This Row],[g]]/Database[[#This Row],[g/S]]</f>
        <v>1</v>
      </c>
      <c r="P65" s="42">
        <f>IF(Database[[#This Row],[g]],Database[[#This Row],[g]]/453.59237,0)</f>
        <v>6.6138678655463273E-2</v>
      </c>
      <c r="Q65" s="10">
        <f>Database[[#This Row],[Lb]]*16</f>
        <v>1.0582188584874124</v>
      </c>
      <c r="R65" s="9">
        <f>IF(Database[[#This Row],[g]],(Database[[#This Row],[C/S]]/Database[[#This Row],[g/S]])*Database[[#This Row],[g]],0)</f>
        <v>150</v>
      </c>
      <c r="S65" s="11">
        <f>_xlfn.NORM.DIST(Database[[#This Row],[C/Lb]],$L$127,$L$128,TRUE)</f>
        <v>0.68266148816904992</v>
      </c>
      <c r="T65" s="12">
        <f>_xlfn.NORM.DIST(Database[[#This Row],[Pack]],$N$127,$N$128,TRUE)</f>
        <v>0.2705690307561387</v>
      </c>
      <c r="U65" s="11">
        <f>_xlfn.NORM.DIST(Database[[#This Row],[C/$]],$M$127,$M$128,TRUE)</f>
        <v>0.3453290227581452</v>
      </c>
      <c r="V65" s="11">
        <f>Database[[#This Row],[C/Lb N]]*$F$14+Database[[#This Row],[C/$ N]]*$F$16+Database[[#This Row],[Pack N]]*$F$15</f>
        <v>5.6730940588010119</v>
      </c>
      <c r="W65" s="32">
        <v>0.09</v>
      </c>
      <c r="X65" s="32">
        <v>0.15</v>
      </c>
      <c r="Y65" s="32">
        <v>0</v>
      </c>
      <c r="Z65" s="32">
        <v>0.02</v>
      </c>
      <c r="AA65" s="32">
        <v>7.0000000000000007E-2</v>
      </c>
      <c r="AB65" s="32">
        <v>0.04</v>
      </c>
      <c r="AC65" s="32">
        <v>0.2</v>
      </c>
      <c r="AD65" s="32">
        <v>0.02</v>
      </c>
      <c r="AE65" s="32">
        <v>0</v>
      </c>
      <c r="AF65" s="32">
        <v>0</v>
      </c>
      <c r="AG65" s="32">
        <v>0</v>
      </c>
      <c r="AH65" s="32">
        <v>0</v>
      </c>
      <c r="AI65" s="32">
        <v>0.02</v>
      </c>
      <c r="AJ65" s="32">
        <v>0</v>
      </c>
    </row>
    <row r="66" spans="2:36" x14ac:dyDescent="0.2">
      <c r="B66" t="s">
        <v>139</v>
      </c>
      <c r="C66" t="s">
        <v>140</v>
      </c>
      <c r="D66" t="s">
        <v>73</v>
      </c>
      <c r="E66" s="20">
        <f>((Database[[#This Row],[Raw Score]]-MIN(Database[Raw Score]))/(MAX(Database[Raw Score])-MIN(Database[Raw Score])))*10</f>
        <v>5.1765537102105963</v>
      </c>
      <c r="F66" s="21">
        <v>0.75</v>
      </c>
      <c r="G66" s="27" t="s">
        <v>17</v>
      </c>
      <c r="H66" s="27" t="s">
        <v>16</v>
      </c>
      <c r="I66" s="22">
        <v>160</v>
      </c>
      <c r="J66" s="37">
        <v>39.1</v>
      </c>
      <c r="K66" s="38">
        <v>39.1</v>
      </c>
      <c r="L66" s="9">
        <f>IF(Database[[#This Row],[g]],Database[[#This Row],[C]]/Database[[#This Row],[Lb]],0)</f>
        <v>1856.1324603580565</v>
      </c>
      <c r="M66" s="9">
        <f>IF(Database[[#This Row],[$]], Database[[#This Row],[C]]/Database[[#This Row],[$]],0)</f>
        <v>213.33333333333337</v>
      </c>
      <c r="N66" s="25">
        <f>IF(OR(ISBLANK(Database[[#This Row],[Air]]),ISBLANK(Database[[#This Row],[Flex]])),0,VLOOKUP(Database[[#This Row],[Flex]],FlexScore[],2,FALSE)+VLOOKUP(Database[[#This Row],[Air]],AirScore[],2,FALSE))</f>
        <v>8</v>
      </c>
      <c r="O66" s="25">
        <f>Database[[#This Row],[g]]/Database[[#This Row],[g/S]]</f>
        <v>1</v>
      </c>
      <c r="P66" s="42">
        <f>IF(Database[[#This Row],[g]],Database[[#This Row],[g]]/453.59237,0)</f>
        <v>8.6200744514287136E-2</v>
      </c>
      <c r="Q66" s="10">
        <f>Database[[#This Row],[Lb]]*16</f>
        <v>1.3792119122285942</v>
      </c>
      <c r="R66" s="9">
        <f>IF(Database[[#This Row],[g]],(Database[[#This Row],[C/S]]/Database[[#This Row],[g/S]])*Database[[#This Row],[g]],0)</f>
        <v>160.00000000000003</v>
      </c>
      <c r="S66" s="11">
        <f>_xlfn.NORM.DIST(Database[[#This Row],[C/Lb]],$L$127,$L$128,TRUE)</f>
        <v>0.45010061537470542</v>
      </c>
      <c r="T66" s="12">
        <f>_xlfn.NORM.DIST(Database[[#This Row],[Pack]],$N$127,$N$128,TRUE)</f>
        <v>0.95212895676000608</v>
      </c>
      <c r="U66" s="11">
        <f>_xlfn.NORM.DIST(Database[[#This Row],[C/$]],$M$127,$M$128,TRUE)</f>
        <v>0.35235334122487694</v>
      </c>
      <c r="V66" s="11">
        <f>Database[[#This Row],[C/Lb N]]*$F$14+Database[[#This Row],[C/$ N]]*$F$16+Database[[#This Row],[Pack N]]*$F$15</f>
        <v>5.6619216294428751</v>
      </c>
      <c r="W66" s="32">
        <v>0.03</v>
      </c>
      <c r="X66" s="32">
        <v>0.1</v>
      </c>
      <c r="Y66" s="32">
        <v>0</v>
      </c>
      <c r="Z66" s="32">
        <v>7.0000000000000007E-2</v>
      </c>
      <c r="AA66" s="32">
        <v>0.12</v>
      </c>
      <c r="AB66" s="32">
        <v>0.03</v>
      </c>
      <c r="AC66" s="32">
        <v>0.46</v>
      </c>
      <c r="AD66" s="32">
        <v>0.02</v>
      </c>
      <c r="AE66" s="32">
        <v>0</v>
      </c>
      <c r="AF66" s="32">
        <v>0</v>
      </c>
      <c r="AG66" s="32">
        <v>0</v>
      </c>
      <c r="AH66" s="32">
        <v>0.04</v>
      </c>
      <c r="AI66" s="32">
        <v>0.04</v>
      </c>
      <c r="AJ66" s="32">
        <v>0.06</v>
      </c>
    </row>
    <row r="67" spans="2:36" x14ac:dyDescent="0.2">
      <c r="B67" t="s">
        <v>141</v>
      </c>
      <c r="C67" t="s">
        <v>142</v>
      </c>
      <c r="D67" t="s">
        <v>66</v>
      </c>
      <c r="E67" s="20">
        <f>((Database[[#This Row],[Raw Score]]-MIN(Database[Raw Score]))/(MAX(Database[Raw Score])-MIN(Database[Raw Score])))*10</f>
        <v>5.1755802853633277</v>
      </c>
      <c r="F67" s="21">
        <v>8.68</v>
      </c>
      <c r="G67" s="27" t="s">
        <v>17</v>
      </c>
      <c r="H67" s="27" t="s">
        <v>27</v>
      </c>
      <c r="I67" s="39">
        <v>220</v>
      </c>
      <c r="J67" s="37">
        <f>272/6</f>
        <v>45.333333333333336</v>
      </c>
      <c r="K67" s="38">
        <v>272</v>
      </c>
      <c r="L67" s="9">
        <f>IF(Database[[#This Row],[g]],Database[[#This Row],[C]]/Database[[#This Row],[Lb]],0)</f>
        <v>2201.2570897058827</v>
      </c>
      <c r="M67" s="9">
        <f>IF(Database[[#This Row],[$]], Database[[#This Row],[C]]/Database[[#This Row],[$]],0)</f>
        <v>152.07373271889401</v>
      </c>
      <c r="N67" s="25">
        <f>IF(OR(ISBLANK(Database[[#This Row],[Air]]),ISBLANK(Database[[#This Row],[Flex]])),0,VLOOKUP(Database[[#This Row],[Flex]],FlexScore[],2,FALSE)+VLOOKUP(Database[[#This Row],[Air]],AirScore[],2,FALSE))</f>
        <v>5</v>
      </c>
      <c r="O67" s="25">
        <f>Database[[#This Row],[g]]/Database[[#This Row],[g/S]]</f>
        <v>6</v>
      </c>
      <c r="P67" s="42">
        <f>IF(Database[[#This Row],[g]],Database[[#This Row],[g]]/453.59237,0)</f>
        <v>0.59965735314286694</v>
      </c>
      <c r="Q67" s="10">
        <f>Database[[#This Row],[Lb]]*16</f>
        <v>9.5945176502858711</v>
      </c>
      <c r="R67" s="9">
        <f>IF(Database[[#This Row],[g]],(Database[[#This Row],[C/S]]/Database[[#This Row],[g/S]])*Database[[#This Row],[g]],0)</f>
        <v>1320</v>
      </c>
      <c r="S67" s="11">
        <f>_xlfn.NORM.DIST(Database[[#This Row],[C/Lb]],$L$127,$L$128,TRUE)</f>
        <v>0.64724021608446547</v>
      </c>
      <c r="T67" s="12">
        <f>_xlfn.NORM.DIST(Database[[#This Row],[Pack]],$N$127,$N$128,TRUE)</f>
        <v>0.48330687382898091</v>
      </c>
      <c r="U67" s="11">
        <f>_xlfn.NORM.DIST(Database[[#This Row],[C/$]],$M$127,$M$128,TRUE)</f>
        <v>0.27039838407268113</v>
      </c>
      <c r="V67" s="11">
        <f>Database[[#This Row],[C/Lb N]]*$F$14+Database[[#This Row],[C/$ N]]*$F$16+Database[[#This Row],[Pack N]]*$F$15</f>
        <v>5.6612501963827979</v>
      </c>
      <c r="W67" s="32">
        <v>0.15</v>
      </c>
      <c r="X67" s="32">
        <v>0.16</v>
      </c>
      <c r="Y67" s="32">
        <v>0</v>
      </c>
      <c r="Z67" s="32">
        <v>0.03</v>
      </c>
      <c r="AA67" s="32">
        <v>0.09</v>
      </c>
      <c r="AB67" s="32">
        <v>0.14000000000000001</v>
      </c>
      <c r="AC67" s="32">
        <v>0.08</v>
      </c>
      <c r="AD67" s="32">
        <v>0.1</v>
      </c>
      <c r="AE67" s="32">
        <v>0</v>
      </c>
      <c r="AF67" s="32">
        <v>0</v>
      </c>
      <c r="AG67" s="32">
        <v>0</v>
      </c>
      <c r="AH67" s="32">
        <v>0</v>
      </c>
      <c r="AI67" s="32">
        <v>0.08</v>
      </c>
      <c r="AJ67" s="32">
        <v>0.06</v>
      </c>
    </row>
    <row r="68" spans="2:36" x14ac:dyDescent="0.2">
      <c r="B68" t="s">
        <v>143</v>
      </c>
      <c r="C68" t="s">
        <v>144</v>
      </c>
      <c r="D68" t="s">
        <v>83</v>
      </c>
      <c r="E68" s="20">
        <f>((Database[[#This Row],[Raw Score]]-MIN(Database[Raw Score]))/(MAX(Database[Raw Score])-MIN(Database[Raw Score])))*10</f>
        <v>5.1583336285944164</v>
      </c>
      <c r="F68" s="34">
        <v>3.39</v>
      </c>
      <c r="G68" s="27" t="s">
        <v>17</v>
      </c>
      <c r="H68" s="30" t="s">
        <v>22</v>
      </c>
      <c r="I68" s="40">
        <v>160</v>
      </c>
      <c r="J68" s="37">
        <v>43</v>
      </c>
      <c r="K68" s="38">
        <v>344</v>
      </c>
      <c r="L68" s="9">
        <f>IF(Database[[#This Row],[g]],Database[[#This Row],[C]]/Database[[#This Row],[Lb]],0)</f>
        <v>1687.7855627906977</v>
      </c>
      <c r="M68" s="9">
        <f>IF(Database[[#This Row],[$]], Database[[#This Row],[C]]/Database[[#This Row],[$]],0)</f>
        <v>377.58112094395278</v>
      </c>
      <c r="N68" s="25">
        <f>IF(OR(ISBLANK(Database[[#This Row],[Air]]),ISBLANK(Database[[#This Row],[Flex]])),0,VLOOKUP(Database[[#This Row],[Flex]],FlexScore[],2,FALSE)+VLOOKUP(Database[[#This Row],[Air]],AirScore[],2,FALSE))</f>
        <v>7</v>
      </c>
      <c r="O68" s="25">
        <f>Database[[#This Row],[g]]/Database[[#This Row],[g/S]]</f>
        <v>8</v>
      </c>
      <c r="P68" s="42">
        <f>IF(Database[[#This Row],[g]],Database[[#This Row],[g]]/453.59237,0)</f>
        <v>0.75839018191597884</v>
      </c>
      <c r="Q68" s="10">
        <f>Database[[#This Row],[Lb]]*16</f>
        <v>12.134242910655662</v>
      </c>
      <c r="R68" s="9">
        <f>IF(Database[[#This Row],[g]],(Database[[#This Row],[C/S]]/Database[[#This Row],[g/S]])*Database[[#This Row],[g]],0)</f>
        <v>1280</v>
      </c>
      <c r="S68" s="11">
        <f>_xlfn.NORM.DIST(Database[[#This Row],[C/Lb]],$L$127,$L$128,TRUE)</f>
        <v>0.35535467088307815</v>
      </c>
      <c r="T68" s="12">
        <f>_xlfn.NORM.DIST(Database[[#This Row],[Pack]],$N$127,$N$128,TRUE)</f>
        <v>0.86359597058145221</v>
      </c>
      <c r="U68" s="11">
        <f>_xlfn.NORM.DIST(Database[[#This Row],[C/$]],$M$127,$M$128,TRUE)</f>
        <v>0.59667803775805162</v>
      </c>
      <c r="V68" s="11">
        <f>Database[[#This Row],[C/Lb N]]*$F$14+Database[[#This Row],[C/$ N]]*$F$16+Database[[#This Row],[Pack N]]*$F$15</f>
        <v>5.6493540797355282</v>
      </c>
      <c r="W68" s="32">
        <v>0.03</v>
      </c>
      <c r="X68" s="32">
        <v>0.02</v>
      </c>
      <c r="Y68" s="32">
        <v>0</v>
      </c>
      <c r="Z68" s="32">
        <v>7.0000000000000007E-2</v>
      </c>
      <c r="AA68" s="32">
        <v>0.12</v>
      </c>
      <c r="AB68" s="32">
        <v>0.13</v>
      </c>
      <c r="AC68" s="32">
        <v>0.16</v>
      </c>
      <c r="AD68" s="32">
        <v>0.08</v>
      </c>
      <c r="AE68" s="32">
        <v>0</v>
      </c>
      <c r="AF68" s="32">
        <v>0</v>
      </c>
      <c r="AG68" s="32">
        <v>0</v>
      </c>
      <c r="AH68" s="32">
        <v>0</v>
      </c>
      <c r="AI68" s="32">
        <v>0.06</v>
      </c>
      <c r="AJ68" s="32">
        <v>0.02</v>
      </c>
    </row>
    <row r="69" spans="2:36" x14ac:dyDescent="0.2">
      <c r="B69" t="s">
        <v>145</v>
      </c>
      <c r="C69" t="s">
        <v>146</v>
      </c>
      <c r="D69" t="s">
        <v>73</v>
      </c>
      <c r="E69" s="20">
        <f>((Database[[#This Row],[Raw Score]]-MIN(Database[Raw Score]))/(MAX(Database[Raw Score])-MIN(Database[Raw Score])))*10</f>
        <v>4.9843428307429667</v>
      </c>
      <c r="F69" s="21">
        <v>5.48</v>
      </c>
      <c r="G69" s="27" t="s">
        <v>17</v>
      </c>
      <c r="H69" s="27" t="s">
        <v>16</v>
      </c>
      <c r="I69" s="39">
        <v>140</v>
      </c>
      <c r="J69" s="37">
        <v>36</v>
      </c>
      <c r="K69" s="38">
        <v>360</v>
      </c>
      <c r="L69" s="9">
        <f>IF(Database[[#This Row],[g]],Database[[#This Row],[C]]/Database[[#This Row],[Lb]],0)</f>
        <v>1763.9703277777778</v>
      </c>
      <c r="M69" s="9">
        <f>IF(Database[[#This Row],[$]], Database[[#This Row],[C]]/Database[[#This Row],[$]],0)</f>
        <v>255.47445255474452</v>
      </c>
      <c r="N69" s="25">
        <f>IF(OR(ISBLANK(Database[[#This Row],[Air]]),ISBLANK(Database[[#This Row],[Flex]])),0,VLOOKUP(Database[[#This Row],[Flex]],FlexScore[],2,FALSE)+VLOOKUP(Database[[#This Row],[Air]],AirScore[],2,FALSE))</f>
        <v>8</v>
      </c>
      <c r="O69" s="25">
        <f>Database[[#This Row],[g]]/Database[[#This Row],[g/S]]</f>
        <v>10</v>
      </c>
      <c r="P69" s="42">
        <f>IF(Database[[#This Row],[g]],Database[[#This Row],[g]]/453.59237,0)</f>
        <v>0.79366414386555928</v>
      </c>
      <c r="Q69" s="10">
        <f>Database[[#This Row],[Lb]]*16</f>
        <v>12.698626301848948</v>
      </c>
      <c r="R69" s="9">
        <f>IF(Database[[#This Row],[g]],(Database[[#This Row],[C/S]]/Database[[#This Row],[g/S]])*Database[[#This Row],[g]],0)</f>
        <v>1400</v>
      </c>
      <c r="S69" s="11">
        <f>_xlfn.NORM.DIST(Database[[#This Row],[C/Lb]],$L$127,$L$128,TRUE)</f>
        <v>0.39750706484917203</v>
      </c>
      <c r="T69" s="12">
        <f>_xlfn.NORM.DIST(Database[[#This Row],[Pack]],$N$127,$N$128,TRUE)</f>
        <v>0.95212895676000608</v>
      </c>
      <c r="U69" s="11">
        <f>_xlfn.NORM.DIST(Database[[#This Row],[C/$]],$M$127,$M$128,TRUE)</f>
        <v>0.41334708403732318</v>
      </c>
      <c r="V69" s="11">
        <f>Database[[#This Row],[C/Lb N]]*$F$14+Database[[#This Row],[C/$ N]]*$F$16+Database[[#This Row],[Pack N]]*$F$15</f>
        <v>5.5293415547270133</v>
      </c>
      <c r="W69" s="32">
        <v>0.01</v>
      </c>
      <c r="X69" s="32">
        <v>0.03</v>
      </c>
      <c r="Y69" s="32">
        <v>0.02</v>
      </c>
      <c r="Z69" s="32">
        <v>0.04</v>
      </c>
      <c r="AA69" s="32">
        <v>0.1</v>
      </c>
      <c r="AB69" s="32">
        <v>0</v>
      </c>
      <c r="AC69" s="32">
        <v>0.18</v>
      </c>
      <c r="AD69" s="32">
        <v>0.1</v>
      </c>
      <c r="AE69" s="32">
        <v>0.06</v>
      </c>
      <c r="AF69" s="32">
        <v>1</v>
      </c>
      <c r="AG69" s="32">
        <v>0.35</v>
      </c>
      <c r="AH69" s="32">
        <v>0.15</v>
      </c>
      <c r="AI69" s="32">
        <v>0.2</v>
      </c>
      <c r="AJ69" s="32">
        <v>0.06</v>
      </c>
    </row>
    <row r="70" spans="2:36" x14ac:dyDescent="0.2">
      <c r="B70" t="s">
        <v>147</v>
      </c>
      <c r="C70" t="s">
        <v>148</v>
      </c>
      <c r="D70" t="s">
        <v>97</v>
      </c>
      <c r="E70" s="20">
        <f>((Database[[#This Row],[Raw Score]]-MIN(Database[Raw Score]))/(MAX(Database[Raw Score])-MIN(Database[Raw Score])))*10</f>
        <v>4.9677339485085863</v>
      </c>
      <c r="F70" s="21">
        <v>1</v>
      </c>
      <c r="G70" s="27" t="s">
        <v>20</v>
      </c>
      <c r="H70" s="27" t="s">
        <v>26</v>
      </c>
      <c r="I70" s="22">
        <v>240</v>
      </c>
      <c r="J70" s="37">
        <v>50</v>
      </c>
      <c r="K70" s="38">
        <v>50</v>
      </c>
      <c r="L70" s="9">
        <f>IF(Database[[#This Row],[g]],Database[[#This Row],[C]]/Database[[#This Row],[Lb]],0)</f>
        <v>2177.2433759999999</v>
      </c>
      <c r="M70" s="9">
        <f>IF(Database[[#This Row],[$]], Database[[#This Row],[C]]/Database[[#This Row],[$]],0)</f>
        <v>240</v>
      </c>
      <c r="N70" s="25">
        <f>IF(OR(ISBLANK(Database[[#This Row],[Air]]),ISBLANK(Database[[#This Row],[Flex]])),0,VLOOKUP(Database[[#This Row],[Flex]],FlexScore[],2,FALSE)+VLOOKUP(Database[[#This Row],[Air]],AirScore[],2,FALSE))</f>
        <v>4</v>
      </c>
      <c r="O70" s="25">
        <f>Database[[#This Row],[g]]/Database[[#This Row],[g/S]]</f>
        <v>1</v>
      </c>
      <c r="P70" s="42">
        <f>IF(Database[[#This Row],[g]],Database[[#This Row],[g]]/453.59237,0)</f>
        <v>0.11023113109243879</v>
      </c>
      <c r="Q70" s="10">
        <f>Database[[#This Row],[Lb]]*16</f>
        <v>1.7636980974790206</v>
      </c>
      <c r="R70" s="9">
        <f>IF(Database[[#This Row],[g]],(Database[[#This Row],[C/S]]/Database[[#This Row],[g/S]])*Database[[#This Row],[g]],0)</f>
        <v>240</v>
      </c>
      <c r="S70" s="11">
        <f>_xlfn.NORM.DIST(Database[[#This Row],[C/Lb]],$L$127,$L$128,TRUE)</f>
        <v>0.6341487022178266</v>
      </c>
      <c r="T70" s="12">
        <f>_xlfn.NORM.DIST(Database[[#This Row],[Pack]],$N$127,$N$128,TRUE)</f>
        <v>0.2705690307561387</v>
      </c>
      <c r="U70" s="11">
        <f>_xlfn.NORM.DIST(Database[[#This Row],[C/$]],$M$127,$M$128,TRUE)</f>
        <v>0.39061835898037256</v>
      </c>
      <c r="V70" s="11">
        <f>Database[[#This Row],[C/Lb N]]*$F$14+Database[[#This Row],[C/$ N]]*$F$16+Database[[#This Row],[Pack N]]*$F$15</f>
        <v>5.5178853517603548</v>
      </c>
      <c r="W70" s="32">
        <v>0.14000000000000001</v>
      </c>
      <c r="X70" s="32">
        <v>0.13</v>
      </c>
      <c r="Y70" s="32">
        <v>0</v>
      </c>
      <c r="Z70" s="32">
        <v>0.03</v>
      </c>
      <c r="AA70" s="32">
        <v>7.0000000000000007E-2</v>
      </c>
      <c r="AB70" s="32">
        <v>7.0000000000000007E-2</v>
      </c>
      <c r="AC70" s="32">
        <v>0.1</v>
      </c>
      <c r="AD70" s="32">
        <v>0.1</v>
      </c>
      <c r="AE70" s="32">
        <v>0</v>
      </c>
      <c r="AF70" s="32">
        <v>0</v>
      </c>
      <c r="AG70" s="32">
        <v>0</v>
      </c>
      <c r="AH70" s="32">
        <v>0.04</v>
      </c>
      <c r="AI70" s="32">
        <v>0.06</v>
      </c>
      <c r="AJ70" s="32">
        <v>0.04</v>
      </c>
    </row>
    <row r="71" spans="2:36" x14ac:dyDescent="0.2">
      <c r="B71" t="s">
        <v>149</v>
      </c>
      <c r="C71" t="s">
        <v>150</v>
      </c>
      <c r="D71" t="s">
        <v>73</v>
      </c>
      <c r="E71" s="20">
        <f>((Database[[#This Row],[Raw Score]]-MIN(Database[Raw Score]))/(MAX(Database[Raw Score])-MIN(Database[Raw Score])))*10</f>
        <v>4.8875886995759501</v>
      </c>
      <c r="F71" s="34">
        <v>2.99</v>
      </c>
      <c r="G71" s="27" t="s">
        <v>17</v>
      </c>
      <c r="H71" s="30" t="s">
        <v>16</v>
      </c>
      <c r="I71" s="40">
        <v>80</v>
      </c>
      <c r="J71" s="37">
        <f>Database[[#This Row],[g]]/10</f>
        <v>21</v>
      </c>
      <c r="K71" s="38">
        <v>210</v>
      </c>
      <c r="L71" s="9">
        <f>IF(Database[[#This Row],[g]],Database[[#This Row],[C]]/Database[[#This Row],[Lb]],0)</f>
        <v>1727.9709333333335</v>
      </c>
      <c r="M71" s="9">
        <f>IF(Database[[#This Row],[$]], Database[[#This Row],[C]]/Database[[#This Row],[$]],0)</f>
        <v>267.55852842809361</v>
      </c>
      <c r="N71" s="25">
        <f>IF(OR(ISBLANK(Database[[#This Row],[Air]]),ISBLANK(Database[[#This Row],[Flex]])),0,VLOOKUP(Database[[#This Row],[Flex]],FlexScore[],2,FALSE)+VLOOKUP(Database[[#This Row],[Air]],AirScore[],2,FALSE))</f>
        <v>8</v>
      </c>
      <c r="O71" s="25">
        <f>Database[[#This Row],[g]]/Database[[#This Row],[g/S]]</f>
        <v>10</v>
      </c>
      <c r="P71" s="42">
        <f>IF(Database[[#This Row],[g]],Database[[#This Row],[g]]/453.59237,0)</f>
        <v>0.46297075058824289</v>
      </c>
      <c r="Q71" s="10">
        <f>Database[[#This Row],[Lb]]*16</f>
        <v>7.4075320094118862</v>
      </c>
      <c r="R71" s="9">
        <f>IF(Database[[#This Row],[g]],(Database[[#This Row],[C/S]]/Database[[#This Row],[g/S]])*Database[[#This Row],[g]],0)</f>
        <v>800</v>
      </c>
      <c r="S71" s="11">
        <f>_xlfn.NORM.DIST(Database[[#This Row],[C/Lb]],$L$127,$L$128,TRUE)</f>
        <v>0.37740544193039077</v>
      </c>
      <c r="T71" s="12">
        <f>_xlfn.NORM.DIST(Database[[#This Row],[Pack]],$N$127,$N$128,TRUE)</f>
        <v>0.95212895676000608</v>
      </c>
      <c r="U71" s="11">
        <f>_xlfn.NORM.DIST(Database[[#This Row],[C/$]],$M$127,$M$128,TRUE)</f>
        <v>0.43130450283547195</v>
      </c>
      <c r="V71" s="11">
        <f>Database[[#This Row],[C/Lb N]]*$F$14+Database[[#This Row],[C/$ N]]*$F$16+Database[[#This Row],[Pack N]]*$F$15</f>
        <v>5.4626040736087731</v>
      </c>
      <c r="W71" s="32">
        <v>0</v>
      </c>
      <c r="X71" s="32">
        <v>0</v>
      </c>
      <c r="Y71" s="32">
        <v>0</v>
      </c>
      <c r="Z71" s="32">
        <v>0.01</v>
      </c>
      <c r="AA71" s="32">
        <v>7.0000000000000007E-2</v>
      </c>
      <c r="AB71" s="32">
        <v>0</v>
      </c>
      <c r="AC71" s="32">
        <v>0.4</v>
      </c>
      <c r="AD71" s="32">
        <v>0</v>
      </c>
      <c r="AE71" s="32">
        <v>0</v>
      </c>
      <c r="AF71" s="32">
        <v>0.8</v>
      </c>
      <c r="AG71" s="32">
        <v>0</v>
      </c>
      <c r="AH71" s="32">
        <v>0.04</v>
      </c>
      <c r="AI71" s="32">
        <v>0</v>
      </c>
      <c r="AJ71" s="32">
        <v>0</v>
      </c>
    </row>
    <row r="72" spans="2:36" x14ac:dyDescent="0.2">
      <c r="B72" t="s">
        <v>151</v>
      </c>
      <c r="C72" t="s">
        <v>152</v>
      </c>
      <c r="D72" t="s">
        <v>242</v>
      </c>
      <c r="E72" s="20">
        <f>((Database[[#This Row],[Raw Score]]-MIN(Database[Raw Score]))/(MAX(Database[Raw Score])-MIN(Database[Raw Score])))*10</f>
        <v>4.8675984316563161</v>
      </c>
      <c r="F72" s="21">
        <v>2</v>
      </c>
      <c r="G72" s="27" t="s">
        <v>20</v>
      </c>
      <c r="H72" s="27" t="s">
        <v>26</v>
      </c>
      <c r="I72" s="22">
        <v>250</v>
      </c>
      <c r="J72" s="37">
        <v>49.3</v>
      </c>
      <c r="K72" s="38">
        <v>49.3</v>
      </c>
      <c r="L72" s="9">
        <f>IF(Database[[#This Row],[g]],Database[[#This Row],[C]]/Database[[#This Row],[Lb]],0)</f>
        <v>2300.1641480730227</v>
      </c>
      <c r="M72" s="9">
        <f>IF(Database[[#This Row],[$]], Database[[#This Row],[C]]/Database[[#This Row],[$]],0)</f>
        <v>125</v>
      </c>
      <c r="N72" s="25">
        <f>IF(OR(ISBLANK(Database[[#This Row],[Air]]),ISBLANK(Database[[#This Row],[Flex]])),0,VLOOKUP(Database[[#This Row],[Flex]],FlexScore[],2,FALSE)+VLOOKUP(Database[[#This Row],[Air]],AirScore[],2,FALSE))</f>
        <v>4</v>
      </c>
      <c r="O72" s="25">
        <f>Database[[#This Row],[g]]/Database[[#This Row],[g/S]]</f>
        <v>1</v>
      </c>
      <c r="P72" s="42">
        <f>IF(Database[[#This Row],[g]],Database[[#This Row],[g]]/453.59237,0)</f>
        <v>0.10868789525714463</v>
      </c>
      <c r="Q72" s="10">
        <f>Database[[#This Row],[Lb]]*16</f>
        <v>1.7390063241143141</v>
      </c>
      <c r="R72" s="9">
        <f>IF(Database[[#This Row],[g]],(Database[[#This Row],[C/S]]/Database[[#This Row],[g/S]])*Database[[#This Row],[g]],0)</f>
        <v>250</v>
      </c>
      <c r="S72" s="11">
        <f>_xlfn.NORM.DIST(Database[[#This Row],[C/Lb]],$L$127,$L$128,TRUE)</f>
        <v>0.69920456928419061</v>
      </c>
      <c r="T72" s="12">
        <f>_xlfn.NORM.DIST(Database[[#This Row],[Pack]],$N$127,$N$128,TRUE)</f>
        <v>0.2705690307561387</v>
      </c>
      <c r="U72" s="11">
        <f>_xlfn.NORM.DIST(Database[[#This Row],[C/$]],$M$127,$M$128,TRUE)</f>
        <v>0.23748334551549263</v>
      </c>
      <c r="V72" s="11">
        <f>Database[[#This Row],[C/Lb N]]*$F$14+Database[[#This Row],[C/$ N]]*$F$16+Database[[#This Row],[Pack N]]*$F$15</f>
        <v>5.4488155137638996</v>
      </c>
      <c r="W72" s="32">
        <v>0.17</v>
      </c>
      <c r="X72" s="32">
        <v>0.25</v>
      </c>
      <c r="Y72" s="32">
        <v>0.01</v>
      </c>
      <c r="Z72" s="32">
        <v>0.01</v>
      </c>
      <c r="AA72" s="32">
        <v>0.11</v>
      </c>
      <c r="AB72" s="32">
        <v>7.0000000000000007E-2</v>
      </c>
      <c r="AC72" s="32">
        <v>0.46</v>
      </c>
      <c r="AD72" s="32">
        <v>0.1</v>
      </c>
      <c r="AE72" s="32">
        <v>0</v>
      </c>
      <c r="AF72" s="32">
        <v>0</v>
      </c>
      <c r="AG72" s="32">
        <v>0</v>
      </c>
      <c r="AH72" s="32">
        <v>0.04</v>
      </c>
      <c r="AI72" s="32">
        <v>0.06</v>
      </c>
      <c r="AJ72" s="32">
        <v>0.04</v>
      </c>
    </row>
    <row r="73" spans="2:36" x14ac:dyDescent="0.2">
      <c r="B73" t="s">
        <v>153</v>
      </c>
      <c r="C73" t="s">
        <v>142</v>
      </c>
      <c r="D73" t="s">
        <v>66</v>
      </c>
      <c r="E73" s="20">
        <f>((Database[[#This Row],[Raw Score]]-MIN(Database[Raw Score]))/(MAX(Database[Raw Score])-MIN(Database[Raw Score])))*10</f>
        <v>4.7557978303228001</v>
      </c>
      <c r="F73" s="21">
        <v>3</v>
      </c>
      <c r="G73" s="27" t="s">
        <v>17</v>
      </c>
      <c r="H73" s="27" t="s">
        <v>27</v>
      </c>
      <c r="I73" s="39">
        <v>200</v>
      </c>
      <c r="J73" s="37">
        <f>Database[[#This Row],[g]]/2</f>
        <v>42.5</v>
      </c>
      <c r="K73" s="38">
        <v>85</v>
      </c>
      <c r="L73" s="9">
        <f>IF(Database[[#This Row],[g]],Database[[#This Row],[C]]/Database[[#This Row],[Lb]],0)</f>
        <v>2134.5523294117647</v>
      </c>
      <c r="M73" s="9">
        <f>IF(Database[[#This Row],[$]], Database[[#This Row],[C]]/Database[[#This Row],[$]],0)</f>
        <v>133.33333333333334</v>
      </c>
      <c r="N73" s="25">
        <f>IF(OR(ISBLANK(Database[[#This Row],[Air]]),ISBLANK(Database[[#This Row],[Flex]])),0,VLOOKUP(Database[[#This Row],[Flex]],FlexScore[],2,FALSE)+VLOOKUP(Database[[#This Row],[Air]],AirScore[],2,FALSE))</f>
        <v>5</v>
      </c>
      <c r="O73" s="25">
        <f>Database[[#This Row],[g]]/Database[[#This Row],[g/S]]</f>
        <v>2</v>
      </c>
      <c r="P73" s="42">
        <f>IF(Database[[#This Row],[g]],Database[[#This Row],[g]]/453.59237,0)</f>
        <v>0.18739292285714593</v>
      </c>
      <c r="Q73" s="10">
        <f>Database[[#This Row],[Lb]]*16</f>
        <v>2.9982867657143348</v>
      </c>
      <c r="R73" s="9">
        <f>IF(Database[[#This Row],[g]],(Database[[#This Row],[C/S]]/Database[[#This Row],[g/S]])*Database[[#This Row],[g]],0)</f>
        <v>400</v>
      </c>
      <c r="S73" s="11">
        <f>_xlfn.NORM.DIST(Database[[#This Row],[C/Lb]],$L$127,$L$128,TRUE)</f>
        <v>0.61049377039773689</v>
      </c>
      <c r="T73" s="12">
        <f>_xlfn.NORM.DIST(Database[[#This Row],[Pack]],$N$127,$N$128,TRUE)</f>
        <v>0.48330687382898091</v>
      </c>
      <c r="U73" s="11">
        <f>_xlfn.NORM.DIST(Database[[#This Row],[C/$]],$M$127,$M$128,TRUE)</f>
        <v>0.24737438488678776</v>
      </c>
      <c r="V73" s="11">
        <f>Database[[#This Row],[C/Lb N]]*$F$14+Database[[#This Row],[C/$ N]]*$F$16+Database[[#This Row],[Pack N]]*$F$15</f>
        <v>5.3716995247047468</v>
      </c>
      <c r="W73" s="32">
        <v>0.14000000000000001</v>
      </c>
      <c r="X73" s="32">
        <v>0.13</v>
      </c>
      <c r="Y73" s="32">
        <v>0</v>
      </c>
      <c r="Z73" s="32">
        <v>0.03</v>
      </c>
      <c r="AA73" s="32">
        <v>0.08</v>
      </c>
      <c r="AB73" s="32">
        <v>0.11</v>
      </c>
      <c r="AC73" s="32">
        <v>0.16</v>
      </c>
      <c r="AD73" s="32">
        <v>0.1</v>
      </c>
      <c r="AE73" s="32">
        <v>0</v>
      </c>
      <c r="AF73" s="32">
        <v>0</v>
      </c>
      <c r="AG73" s="32">
        <v>0</v>
      </c>
      <c r="AH73" s="32">
        <v>0.02</v>
      </c>
      <c r="AI73" s="32">
        <v>0.08</v>
      </c>
      <c r="AJ73" s="32">
        <v>0.04</v>
      </c>
    </row>
    <row r="74" spans="2:36" x14ac:dyDescent="0.2">
      <c r="B74" t="s">
        <v>154</v>
      </c>
      <c r="C74" t="s">
        <v>155</v>
      </c>
      <c r="D74" t="s">
        <v>83</v>
      </c>
      <c r="E74" s="20">
        <f>((Database[[#This Row],[Raw Score]]-MIN(Database[Raw Score]))/(MAX(Database[Raw Score])-MIN(Database[Raw Score])))*10</f>
        <v>4.7158179914062446</v>
      </c>
      <c r="F74" s="21">
        <v>2.25</v>
      </c>
      <c r="G74" s="27" t="s">
        <v>17</v>
      </c>
      <c r="H74" s="27" t="s">
        <v>25</v>
      </c>
      <c r="I74" s="39">
        <v>170</v>
      </c>
      <c r="J74" s="37">
        <v>57</v>
      </c>
      <c r="K74" s="38">
        <v>454</v>
      </c>
      <c r="L74" s="9">
        <f>IF(Database[[#This Row],[g]],Database[[#This Row],[C]]/Database[[#This Row],[Lb]],0)</f>
        <v>1352.8193491228071</v>
      </c>
      <c r="M74" s="9">
        <f>IF(Database[[#This Row],[$]], Database[[#This Row],[C]]/Database[[#This Row],[$]],0)</f>
        <v>601.79337231968805</v>
      </c>
      <c r="N74" s="25">
        <f>IF(OR(ISBLANK(Database[[#This Row],[Air]]),ISBLANK(Database[[#This Row],[Flex]])),0,VLOOKUP(Database[[#This Row],[Flex]],FlexScore[],2,FALSE)+VLOOKUP(Database[[#This Row],[Air]],AirScore[],2,FALSE))</f>
        <v>6.5</v>
      </c>
      <c r="O74" s="25">
        <f>Database[[#This Row],[g]]/Database[[#This Row],[g/S]]</f>
        <v>7.9649122807017543</v>
      </c>
      <c r="P74" s="42">
        <f>IF(Database[[#This Row],[g]],Database[[#This Row],[g]]/453.59237,0)</f>
        <v>1.0008986703193441</v>
      </c>
      <c r="Q74" s="10">
        <f>Database[[#This Row],[Lb]]*16</f>
        <v>16.014378725109506</v>
      </c>
      <c r="R74" s="9">
        <f>IF(Database[[#This Row],[g]],(Database[[#This Row],[C/S]]/Database[[#This Row],[g/S]])*Database[[#This Row],[g]],0)</f>
        <v>1354.0350877192982</v>
      </c>
      <c r="S74" s="11">
        <f>_xlfn.NORM.DIST(Database[[#This Row],[C/Lb]],$L$127,$L$128,TRUE)</f>
        <v>0.19506622722726188</v>
      </c>
      <c r="T74" s="12">
        <f>_xlfn.NORM.DIST(Database[[#This Row],[Pack]],$N$127,$N$128,TRUE)</f>
        <v>0.7916042392722078</v>
      </c>
      <c r="U74" s="11">
        <f>_xlfn.NORM.DIST(Database[[#This Row],[C/$]],$M$127,$M$128,TRUE)</f>
        <v>0.86350568127298521</v>
      </c>
      <c r="V74" s="11">
        <f>Database[[#This Row],[C/Lb N]]*$F$14+Database[[#This Row],[C/$ N]]*$F$16+Database[[#This Row],[Pack N]]*$F$15</f>
        <v>5.3441228857269429</v>
      </c>
      <c r="W74" s="32">
        <v>0.06</v>
      </c>
      <c r="X74" s="32">
        <v>0.08</v>
      </c>
      <c r="Y74" s="32">
        <v>0</v>
      </c>
      <c r="Z74" s="32">
        <v>0.11</v>
      </c>
      <c r="AA74" s="32">
        <v>0.1</v>
      </c>
      <c r="AB74" s="32">
        <v>0.11</v>
      </c>
      <c r="AC74" s="32">
        <v>0.02</v>
      </c>
      <c r="AD74" s="32">
        <v>0.1</v>
      </c>
      <c r="AE74" s="32">
        <v>0</v>
      </c>
      <c r="AF74" s="32">
        <v>0</v>
      </c>
      <c r="AG74" s="32">
        <v>0</v>
      </c>
      <c r="AH74" s="32">
        <v>0.08</v>
      </c>
      <c r="AI74" s="32">
        <v>0.08</v>
      </c>
      <c r="AJ74" s="32">
        <v>0.02</v>
      </c>
    </row>
    <row r="75" spans="2:36" x14ac:dyDescent="0.2">
      <c r="B75" t="s">
        <v>239</v>
      </c>
      <c r="C75" t="s">
        <v>241</v>
      </c>
      <c r="D75" t="s">
        <v>242</v>
      </c>
      <c r="E75" s="20">
        <f>((Database[[#This Row],[Raw Score]]-MIN(Database[Raw Score]))/(MAX(Database[Raw Score])-MIN(Database[Raw Score])))*10</f>
        <v>4.681344801281818</v>
      </c>
      <c r="F75" s="34">
        <v>0.69</v>
      </c>
      <c r="G75" s="27" t="s">
        <v>17</v>
      </c>
      <c r="H75" s="30" t="s">
        <v>27</v>
      </c>
      <c r="I75" s="83">
        <v>100</v>
      </c>
      <c r="J75" s="84">
        <v>26</v>
      </c>
      <c r="K75" s="85">
        <v>78</v>
      </c>
      <c r="L75" s="9">
        <f>IF(Database[[#This Row],[g]],Database[[#This Row],[C]]/Database[[#This Row],[Lb]],0)</f>
        <v>1744.5860384615387</v>
      </c>
      <c r="M75" s="9">
        <f>IF(Database[[#This Row],[$]], Database[[#This Row],[C]]/Database[[#This Row],[$]],0)</f>
        <v>434.78260869565219</v>
      </c>
      <c r="N75" s="25">
        <f>IF(OR(ISBLANK(Database[[#This Row],[Air]]),ISBLANK(Database[[#This Row],[Flex]])),0,VLOOKUP(Database[[#This Row],[Flex]],FlexScore[],2,FALSE)+VLOOKUP(Database[[#This Row],[Air]],AirScore[],2,FALSE))</f>
        <v>5</v>
      </c>
      <c r="O75" s="25">
        <f>Database[[#This Row],[g]]/Database[[#This Row],[g/S]]</f>
        <v>3</v>
      </c>
      <c r="P75" s="42">
        <f>IF(Database[[#This Row],[g]],Database[[#This Row],[g]]/453.59237,0)</f>
        <v>0.17196056450420449</v>
      </c>
      <c r="Q75" s="10">
        <f>Database[[#This Row],[Lb]]*16</f>
        <v>2.7513690320672719</v>
      </c>
      <c r="R75" s="9">
        <f>IF(Database[[#This Row],[g]],(Database[[#This Row],[C/S]]/Database[[#This Row],[g/S]])*Database[[#This Row],[g]],0)</f>
        <v>300</v>
      </c>
      <c r="S75" s="11">
        <f>_xlfn.NORM.DIST(Database[[#This Row],[C/Lb]],$L$127,$L$128,TRUE)</f>
        <v>0.38664552543168951</v>
      </c>
      <c r="T75" s="12">
        <f>_xlfn.NORM.DIST(Database[[#This Row],[Pack]],$N$127,$N$128,TRUE)</f>
        <v>0.48330687382898091</v>
      </c>
      <c r="U75" s="11">
        <f>_xlfn.NORM.DIST(Database[[#This Row],[C/$]],$M$127,$M$128,TRUE)</f>
        <v>0.67795254419435269</v>
      </c>
      <c r="V75" s="11">
        <f>Database[[#This Row],[C/Lb N]]*$F$14+Database[[#This Row],[C/$ N]]*$F$16+Database[[#This Row],[Pack N]]*$F$15</f>
        <v>5.3203445328311574</v>
      </c>
      <c r="W75" s="32"/>
      <c r="X75" s="32"/>
      <c r="Y75" s="32"/>
      <c r="Z75" s="32"/>
      <c r="AA75" s="32"/>
      <c r="AB75" s="32"/>
      <c r="AC75" s="32"/>
      <c r="AD75" s="32"/>
      <c r="AE75" s="86"/>
      <c r="AF75" s="86"/>
      <c r="AG75" s="86"/>
      <c r="AH75" s="86"/>
      <c r="AI75" s="86"/>
      <c r="AJ75" s="86"/>
    </row>
    <row r="76" spans="2:36" x14ac:dyDescent="0.2">
      <c r="B76" t="s">
        <v>156</v>
      </c>
      <c r="C76" t="s">
        <v>157</v>
      </c>
      <c r="D76" t="s">
        <v>86</v>
      </c>
      <c r="E76" s="20">
        <f>((Database[[#This Row],[Raw Score]]-MIN(Database[Raw Score]))/(MAX(Database[Raw Score])-MIN(Database[Raw Score])))*10</f>
        <v>4.6136577211539676</v>
      </c>
      <c r="F76" s="21">
        <v>4.59</v>
      </c>
      <c r="G76" s="27" t="s">
        <v>17</v>
      </c>
      <c r="H76" s="27" t="s">
        <v>27</v>
      </c>
      <c r="I76" s="22">
        <v>150</v>
      </c>
      <c r="J76" s="37">
        <v>32</v>
      </c>
      <c r="K76" s="38">
        <v>111</v>
      </c>
      <c r="L76" s="9">
        <f>IF(Database[[#This Row],[g]],Database[[#This Row],[C]]/Database[[#This Row],[Lb]],0)</f>
        <v>2126.2142343750002</v>
      </c>
      <c r="M76" s="9">
        <f>IF(Database[[#This Row],[$]], Database[[#This Row],[C]]/Database[[#This Row],[$]],0)</f>
        <v>113.3578431372549</v>
      </c>
      <c r="N76" s="25">
        <f>IF(OR(ISBLANK(Database[[#This Row],[Air]]),ISBLANK(Database[[#This Row],[Flex]])),0,VLOOKUP(Database[[#This Row],[Flex]],FlexScore[],2,FALSE)+VLOOKUP(Database[[#This Row],[Air]],AirScore[],2,FALSE))</f>
        <v>5</v>
      </c>
      <c r="O76" s="25">
        <f>Database[[#This Row],[g]]/Database[[#This Row],[g/S]]</f>
        <v>3.46875</v>
      </c>
      <c r="P76" s="42">
        <f>IF(Database[[#This Row],[g]],Database[[#This Row],[g]]/453.59237,0)</f>
        <v>0.24471311102521409</v>
      </c>
      <c r="Q76" s="10">
        <f>Database[[#This Row],[Lb]]*16</f>
        <v>3.9154097764034255</v>
      </c>
      <c r="R76" s="9">
        <f>IF(Database[[#This Row],[g]],(Database[[#This Row],[C/S]]/Database[[#This Row],[g/S]])*Database[[#This Row],[g]],0)</f>
        <v>520.3125</v>
      </c>
      <c r="S76" s="11">
        <f>_xlfn.NORM.DIST(Database[[#This Row],[C/Lb]],$L$127,$L$128,TRUE)</f>
        <v>0.60582234677947622</v>
      </c>
      <c r="T76" s="12">
        <f>_xlfn.NORM.DIST(Database[[#This Row],[Pack]],$N$127,$N$128,TRUE)</f>
        <v>0.48330687382898091</v>
      </c>
      <c r="U76" s="11">
        <f>_xlfn.NORM.DIST(Database[[#This Row],[C/$]],$M$127,$M$128,TRUE)</f>
        <v>0.22403620604417535</v>
      </c>
      <c r="V76" s="11">
        <f>Database[[#This Row],[C/Lb N]]*$F$14+Database[[#This Row],[C/$ N]]*$F$16+Database[[#This Row],[Pack N]]*$F$15</f>
        <v>5.2736564464673457</v>
      </c>
      <c r="W76" s="32">
        <v>0.14000000000000001</v>
      </c>
      <c r="X76" s="32">
        <v>0.2</v>
      </c>
      <c r="Y76" s="32">
        <v>0.12</v>
      </c>
      <c r="Z76" s="32">
        <v>0.22</v>
      </c>
      <c r="AA76" s="32">
        <v>0.02</v>
      </c>
      <c r="AB76" s="32">
        <v>0.04</v>
      </c>
      <c r="AC76" s="32">
        <v>0.01</v>
      </c>
      <c r="AD76" s="32">
        <v>0.13</v>
      </c>
      <c r="AE76" s="32">
        <v>0</v>
      </c>
      <c r="AF76" s="32">
        <v>0</v>
      </c>
      <c r="AG76" s="32">
        <v>0</v>
      </c>
      <c r="AH76" s="32">
        <v>0.04</v>
      </c>
      <c r="AI76" s="32">
        <v>0.04</v>
      </c>
      <c r="AJ76" s="32">
        <v>0.04</v>
      </c>
    </row>
    <row r="77" spans="2:36" x14ac:dyDescent="0.2">
      <c r="B77" t="s">
        <v>239</v>
      </c>
      <c r="C77" t="s">
        <v>240</v>
      </c>
      <c r="D77" t="s">
        <v>242</v>
      </c>
      <c r="E77" s="20">
        <f>((Database[[#This Row],[Raw Score]]-MIN(Database[Raw Score]))/(MAX(Database[Raw Score])-MIN(Database[Raw Score])))*10</f>
        <v>4.5571297870826113</v>
      </c>
      <c r="F77" s="34">
        <v>3.29</v>
      </c>
      <c r="G77" s="27" t="s">
        <v>17</v>
      </c>
      <c r="H77" s="30" t="s">
        <v>27</v>
      </c>
      <c r="I77" s="83">
        <v>110</v>
      </c>
      <c r="J77" s="84">
        <f>Database[[#This Row],[g]]/12</f>
        <v>28.333333333333332</v>
      </c>
      <c r="K77" s="85">
        <v>340</v>
      </c>
      <c r="L77" s="9">
        <f>IF(Database[[#This Row],[g]],Database[[#This Row],[C]]/Database[[#This Row],[Lb]],0)</f>
        <v>1761.005671764706</v>
      </c>
      <c r="M77" s="9">
        <f>IF(Database[[#This Row],[$]], Database[[#This Row],[C]]/Database[[#This Row],[$]],0)</f>
        <v>401.21580547112461</v>
      </c>
      <c r="N77" s="25">
        <f>IF(OR(ISBLANK(Database[[#This Row],[Air]]),ISBLANK(Database[[#This Row],[Flex]])),0,VLOOKUP(Database[[#This Row],[Flex]],FlexScore[],2,FALSE)+VLOOKUP(Database[[#This Row],[Air]],AirScore[],2,FALSE))</f>
        <v>5</v>
      </c>
      <c r="O77" s="25">
        <f>Database[[#This Row],[g]]/Database[[#This Row],[g/S]]</f>
        <v>12</v>
      </c>
      <c r="P77" s="42">
        <f>IF(Database[[#This Row],[g]],Database[[#This Row],[g]]/453.59237,0)</f>
        <v>0.74957169142858371</v>
      </c>
      <c r="Q77" s="10">
        <f>Database[[#This Row],[Lb]]*16</f>
        <v>11.993147062857339</v>
      </c>
      <c r="R77" s="9">
        <f>IF(Database[[#This Row],[g]],(Database[[#This Row],[C/S]]/Database[[#This Row],[g/S]])*Database[[#This Row],[g]],0)</f>
        <v>1320</v>
      </c>
      <c r="S77" s="11">
        <f>_xlfn.NORM.DIST(Database[[#This Row],[C/Lb]],$L$127,$L$128,TRUE)</f>
        <v>0.39584050053850178</v>
      </c>
      <c r="T77" s="12">
        <f>_xlfn.NORM.DIST(Database[[#This Row],[Pack]],$N$127,$N$128,TRUE)</f>
        <v>0.48330687382898091</v>
      </c>
      <c r="U77" s="11">
        <f>_xlfn.NORM.DIST(Database[[#This Row],[C/$]],$M$127,$M$128,TRUE)</f>
        <v>0.63100292745027398</v>
      </c>
      <c r="V77" s="11">
        <f>Database[[#This Row],[C/Lb N]]*$F$14+Database[[#This Row],[C/$ N]]*$F$16+Database[[#This Row],[Pack N]]*$F$15</f>
        <v>5.2346655332397942</v>
      </c>
      <c r="W77" s="32"/>
      <c r="X77" s="32"/>
      <c r="Y77" s="32"/>
      <c r="Z77" s="32"/>
      <c r="AA77" s="32"/>
      <c r="AB77" s="32"/>
      <c r="AC77" s="32"/>
      <c r="AD77" s="32"/>
      <c r="AE77" s="86"/>
      <c r="AF77" s="86"/>
      <c r="AG77" s="86"/>
      <c r="AH77" s="86"/>
      <c r="AI77" s="86"/>
      <c r="AJ77" s="86"/>
    </row>
    <row r="78" spans="2:36" x14ac:dyDescent="0.2">
      <c r="B78" t="s">
        <v>158</v>
      </c>
      <c r="C78" t="s">
        <v>159</v>
      </c>
      <c r="D78" t="s">
        <v>89</v>
      </c>
      <c r="E78" s="20">
        <f>((Database[[#This Row],[Raw Score]]-MIN(Database[Raw Score]))/(MAX(Database[Raw Score])-MIN(Database[Raw Score])))*10</f>
        <v>4.4669836724415655</v>
      </c>
      <c r="F78" s="21">
        <v>8.39</v>
      </c>
      <c r="G78" s="27" t="s">
        <v>17</v>
      </c>
      <c r="H78" s="27" t="s">
        <v>22</v>
      </c>
      <c r="I78" s="39">
        <v>200</v>
      </c>
      <c r="J78" s="37">
        <v>56</v>
      </c>
      <c r="K78" s="38">
        <v>751</v>
      </c>
      <c r="L78" s="9">
        <f>IF(Database[[#This Row],[g]],Database[[#This Row],[C]]/Database[[#This Row],[Lb]],0)</f>
        <v>1619.9727500000001</v>
      </c>
      <c r="M78" s="9">
        <f>IF(Database[[#This Row],[$]], Database[[#This Row],[C]]/Database[[#This Row],[$]],0)</f>
        <v>319.68329644134172</v>
      </c>
      <c r="N78" s="25">
        <f>IF(OR(ISBLANK(Database[[#This Row],[Air]]),ISBLANK(Database[[#This Row],[Flex]])),0,VLOOKUP(Database[[#This Row],[Flex]],FlexScore[],2,FALSE)+VLOOKUP(Database[[#This Row],[Air]],AirScore[],2,FALSE))</f>
        <v>7</v>
      </c>
      <c r="O78" s="25">
        <f>Database[[#This Row],[g]]/Database[[#This Row],[g/S]]</f>
        <v>13.410714285714286</v>
      </c>
      <c r="P78" s="42">
        <f>IF(Database[[#This Row],[g]],Database[[#This Row],[g]]/453.59237,0)</f>
        <v>1.6556715890084306</v>
      </c>
      <c r="Q78" s="10">
        <f>Database[[#This Row],[Lb]]*16</f>
        <v>26.490745424134889</v>
      </c>
      <c r="R78" s="9">
        <f>IF(Database[[#This Row],[g]],(Database[[#This Row],[C/S]]/Database[[#This Row],[g/S]])*Database[[#This Row],[g]],0)</f>
        <v>2682.1428571428573</v>
      </c>
      <c r="S78" s="11">
        <f>_xlfn.NORM.DIST(Database[[#This Row],[C/Lb]],$L$127,$L$128,TRUE)</f>
        <v>0.31925129079911246</v>
      </c>
      <c r="T78" s="12">
        <f>_xlfn.NORM.DIST(Database[[#This Row],[Pack]],$N$127,$N$128,TRUE)</f>
        <v>0.86359597058145221</v>
      </c>
      <c r="U78" s="11">
        <f>_xlfn.NORM.DIST(Database[[#This Row],[C/$]],$M$127,$M$128,TRUE)</f>
        <v>0.50992877855215268</v>
      </c>
      <c r="V78" s="11">
        <f>Database[[#This Row],[C/Lb N]]*$F$14+Database[[#This Row],[C/$ N]]*$F$16+Database[[#This Row],[Pack N]]*$F$15</f>
        <v>5.1724860216140369</v>
      </c>
      <c r="W78" s="32">
        <v>0.01</v>
      </c>
      <c r="X78" s="32">
        <v>0</v>
      </c>
      <c r="Y78" s="32">
        <v>0</v>
      </c>
      <c r="Z78" s="32">
        <v>0</v>
      </c>
      <c r="AA78" s="32">
        <v>0.15</v>
      </c>
      <c r="AB78" s="32">
        <v>0.14000000000000001</v>
      </c>
      <c r="AC78" s="32">
        <v>0</v>
      </c>
      <c r="AD78" s="32">
        <v>0.14000000000000001</v>
      </c>
      <c r="AE78" s="32">
        <v>0</v>
      </c>
      <c r="AF78" s="32">
        <v>0</v>
      </c>
      <c r="AG78" s="32">
        <v>0</v>
      </c>
      <c r="AH78" s="32">
        <v>0</v>
      </c>
      <c r="AI78" s="32">
        <v>0.06</v>
      </c>
      <c r="AJ78" s="32">
        <v>0.02</v>
      </c>
    </row>
    <row r="79" spans="2:36" x14ac:dyDescent="0.2">
      <c r="B79" t="s">
        <v>160</v>
      </c>
      <c r="C79" t="s">
        <v>161</v>
      </c>
      <c r="D79" t="s">
        <v>66</v>
      </c>
      <c r="E79" s="20">
        <f>((Database[[#This Row],[Raw Score]]-MIN(Database[Raw Score]))/(MAX(Database[Raw Score])-MIN(Database[Raw Score])))*10</f>
        <v>4.4453014673059918</v>
      </c>
      <c r="F79" s="21">
        <v>6.58</v>
      </c>
      <c r="G79" s="27" t="s">
        <v>17</v>
      </c>
      <c r="H79" s="27" t="s">
        <v>27</v>
      </c>
      <c r="I79" s="39">
        <v>220</v>
      </c>
      <c r="J79" s="37">
        <v>50</v>
      </c>
      <c r="K79" s="38">
        <v>300</v>
      </c>
      <c r="L79" s="9">
        <f>IF(Database[[#This Row],[g]],Database[[#This Row],[C]]/Database[[#This Row],[Lb]],0)</f>
        <v>1995.8064280000001</v>
      </c>
      <c r="M79" s="9">
        <f>IF(Database[[#This Row],[$]], Database[[#This Row],[C]]/Database[[#This Row],[$]],0)</f>
        <v>200.60790273556231</v>
      </c>
      <c r="N79" s="25">
        <f>IF(OR(ISBLANK(Database[[#This Row],[Air]]),ISBLANK(Database[[#This Row],[Flex]])),0,VLOOKUP(Database[[#This Row],[Flex]],FlexScore[],2,FALSE)+VLOOKUP(Database[[#This Row],[Air]],AirScore[],2,FALSE))</f>
        <v>5</v>
      </c>
      <c r="O79" s="25">
        <f>Database[[#This Row],[g]]/Database[[#This Row],[g/S]]</f>
        <v>6</v>
      </c>
      <c r="P79" s="42">
        <f>IF(Database[[#This Row],[g]],Database[[#This Row],[g]]/453.59237,0)</f>
        <v>0.66138678655463268</v>
      </c>
      <c r="Q79" s="10">
        <f>Database[[#This Row],[Lb]]*16</f>
        <v>10.582188584874123</v>
      </c>
      <c r="R79" s="9">
        <f>IF(Database[[#This Row],[g]],(Database[[#This Row],[C/S]]/Database[[#This Row],[g/S]])*Database[[#This Row],[g]],0)</f>
        <v>1320</v>
      </c>
      <c r="S79" s="11">
        <f>_xlfn.NORM.DIST(Database[[#This Row],[C/Lb]],$L$127,$L$128,TRUE)</f>
        <v>0.53119583197406484</v>
      </c>
      <c r="T79" s="12">
        <f>_xlfn.NORM.DIST(Database[[#This Row],[Pack]],$N$127,$N$128,TRUE)</f>
        <v>0.48330687382898091</v>
      </c>
      <c r="U79" s="11">
        <f>_xlfn.NORM.DIST(Database[[#This Row],[C/$]],$M$127,$M$128,TRUE)</f>
        <v>0.33458056183474866</v>
      </c>
      <c r="V79" s="11">
        <f>Database[[#This Row],[C/Lb N]]*$F$14+Database[[#This Row],[C/$ N]]*$F$16+Database[[#This Row],[Pack N]]*$F$15</f>
        <v>5.1575304250065974</v>
      </c>
      <c r="W79" s="32">
        <v>0.1</v>
      </c>
      <c r="X79" s="32">
        <v>0.03</v>
      </c>
      <c r="Y79" s="32">
        <v>0</v>
      </c>
      <c r="Z79" s="32">
        <v>0.01</v>
      </c>
      <c r="AA79" s="32">
        <v>0.12</v>
      </c>
      <c r="AB79" s="32">
        <v>0.11</v>
      </c>
      <c r="AC79" s="32">
        <v>0.14000000000000001</v>
      </c>
      <c r="AD79" s="32">
        <v>0.06</v>
      </c>
      <c r="AE79" s="32">
        <v>0</v>
      </c>
      <c r="AF79" s="32">
        <v>0</v>
      </c>
      <c r="AG79" s="32">
        <v>0</v>
      </c>
      <c r="AH79" s="32">
        <v>0.02</v>
      </c>
      <c r="AI79" s="32">
        <v>0.06</v>
      </c>
      <c r="AJ79" s="32">
        <v>0.02</v>
      </c>
    </row>
    <row r="80" spans="2:36" x14ac:dyDescent="0.2">
      <c r="B80" t="s">
        <v>162</v>
      </c>
      <c r="C80" t="s">
        <v>163</v>
      </c>
      <c r="D80" t="s">
        <v>242</v>
      </c>
      <c r="E80" s="20">
        <f>((Database[[#This Row],[Raw Score]]-MIN(Database[Raw Score]))/(MAX(Database[Raw Score])-MIN(Database[Raw Score])))*10</f>
        <v>4.4036191216418139</v>
      </c>
      <c r="F80" s="21">
        <v>1.5</v>
      </c>
      <c r="G80" s="27" t="s">
        <v>17</v>
      </c>
      <c r="H80" s="27" t="s">
        <v>28</v>
      </c>
      <c r="I80" s="22">
        <v>250</v>
      </c>
      <c r="J80" s="37">
        <v>52.7</v>
      </c>
      <c r="K80" s="38">
        <v>52.7</v>
      </c>
      <c r="L80" s="9">
        <f>IF(Database[[#This Row],[g]],Database[[#This Row],[C]]/Database[[#This Row],[Lb]],0)</f>
        <v>2151.7664611005689</v>
      </c>
      <c r="M80" s="9">
        <f>IF(Database[[#This Row],[$]], Database[[#This Row],[C]]/Database[[#This Row],[$]],0)</f>
        <v>166.66666666666666</v>
      </c>
      <c r="N80" s="25">
        <f>IF(OR(ISBLANK(Database[[#This Row],[Air]]),ISBLANK(Database[[#This Row],[Flex]])),0,VLOOKUP(Database[[#This Row],[Flex]],FlexScore[],2,FALSE)+VLOOKUP(Database[[#This Row],[Air]],AirScore[],2,FALSE))</f>
        <v>4</v>
      </c>
      <c r="O80" s="25">
        <f>Database[[#This Row],[g]]/Database[[#This Row],[g/S]]</f>
        <v>1</v>
      </c>
      <c r="P80" s="42">
        <f>IF(Database[[#This Row],[g]],Database[[#This Row],[g]]/453.59237,0)</f>
        <v>0.11618361217143049</v>
      </c>
      <c r="Q80" s="10">
        <f>Database[[#This Row],[Lb]]*16</f>
        <v>1.8589377947428878</v>
      </c>
      <c r="R80" s="9">
        <f>IF(Database[[#This Row],[g]],(Database[[#This Row],[C/S]]/Database[[#This Row],[g/S]])*Database[[#This Row],[g]],0)</f>
        <v>249.99999999999997</v>
      </c>
      <c r="S80" s="11">
        <f>_xlfn.NORM.DIST(Database[[#This Row],[C/Lb]],$L$127,$L$128,TRUE)</f>
        <v>0.62008695729391128</v>
      </c>
      <c r="T80" s="12">
        <f>_xlfn.NORM.DIST(Database[[#This Row],[Pack]],$N$127,$N$128,TRUE)</f>
        <v>0.2705690307561387</v>
      </c>
      <c r="U80" s="11">
        <f>_xlfn.NORM.DIST(Database[[#This Row],[C/$]],$M$127,$M$128,TRUE)</f>
        <v>0.28903988450396639</v>
      </c>
      <c r="V80" s="11">
        <f>Database[[#This Row],[C/Lb N]]*$F$14+Database[[#This Row],[C/$ N]]*$F$16+Database[[#This Row],[Pack N]]*$F$15</f>
        <v>5.1287794587876441</v>
      </c>
      <c r="W80" s="32">
        <v>0.15</v>
      </c>
      <c r="X80" s="32">
        <v>0.23</v>
      </c>
      <c r="Y80" s="32">
        <v>0</v>
      </c>
      <c r="Z80" s="32">
        <v>0.05</v>
      </c>
      <c r="AA80" s="32">
        <v>0.12</v>
      </c>
      <c r="AB80" s="32">
        <v>0.04</v>
      </c>
      <c r="AC80" s="32">
        <v>0.52</v>
      </c>
      <c r="AD80" s="32">
        <v>0.08</v>
      </c>
      <c r="AE80" s="32">
        <v>0</v>
      </c>
      <c r="AF80" s="32">
        <v>0</v>
      </c>
      <c r="AG80" s="32">
        <v>0</v>
      </c>
      <c r="AH80" s="32">
        <v>0.04</v>
      </c>
      <c r="AI80" s="32">
        <v>0</v>
      </c>
      <c r="AJ80" s="32">
        <v>0.04</v>
      </c>
    </row>
    <row r="81" spans="2:36" x14ac:dyDescent="0.2">
      <c r="B81" t="s">
        <v>164</v>
      </c>
      <c r="C81" t="s">
        <v>165</v>
      </c>
      <c r="D81" t="s">
        <v>86</v>
      </c>
      <c r="E81" s="20">
        <f>((Database[[#This Row],[Raw Score]]-MIN(Database[Raw Score]))/(MAX(Database[Raw Score])-MIN(Database[Raw Score])))*10</f>
        <v>4.3694093875888473</v>
      </c>
      <c r="F81" s="21">
        <v>1.25</v>
      </c>
      <c r="G81" s="27" t="s">
        <v>17</v>
      </c>
      <c r="H81" s="27" t="s">
        <v>27</v>
      </c>
      <c r="I81" s="39">
        <v>120</v>
      </c>
      <c r="J81" s="37">
        <v>26</v>
      </c>
      <c r="K81" s="38">
        <v>26</v>
      </c>
      <c r="L81" s="9">
        <f>IF(Database[[#This Row],[g]],Database[[#This Row],[C]]/Database[[#This Row],[Lb]],0)</f>
        <v>2093.5032461538458</v>
      </c>
      <c r="M81" s="9">
        <f>IF(Database[[#This Row],[$]], Database[[#This Row],[C]]/Database[[#This Row],[$]],0)</f>
        <v>95.999999999999986</v>
      </c>
      <c r="N81" s="25">
        <f>IF(OR(ISBLANK(Database[[#This Row],[Air]]),ISBLANK(Database[[#This Row],[Flex]])),0,VLOOKUP(Database[[#This Row],[Flex]],FlexScore[],2,FALSE)+VLOOKUP(Database[[#This Row],[Air]],AirScore[],2,FALSE))</f>
        <v>5</v>
      </c>
      <c r="O81" s="25">
        <f>Database[[#This Row],[g]]/Database[[#This Row],[g/S]]</f>
        <v>1</v>
      </c>
      <c r="P81" s="42">
        <f>IF(Database[[#This Row],[g]],Database[[#This Row],[g]]/453.59237,0)</f>
        <v>5.7320188168068172E-2</v>
      </c>
      <c r="Q81" s="10">
        <f>Database[[#This Row],[Lb]]*16</f>
        <v>0.91712301068909075</v>
      </c>
      <c r="R81" s="9">
        <f>IF(Database[[#This Row],[g]],(Database[[#This Row],[C/S]]/Database[[#This Row],[g/S]])*Database[[#This Row],[g]],0)</f>
        <v>119.99999999999999</v>
      </c>
      <c r="S81" s="11">
        <f>_xlfn.NORM.DIST(Database[[#This Row],[C/Lb]],$L$127,$L$128,TRUE)</f>
        <v>0.58735460545369667</v>
      </c>
      <c r="T81" s="12">
        <f>_xlfn.NORM.DIST(Database[[#This Row],[Pack]],$N$127,$N$128,TRUE)</f>
        <v>0.48330687382898091</v>
      </c>
      <c r="U81" s="11">
        <f>_xlfn.NORM.DIST(Database[[#This Row],[C/$]],$M$127,$M$128,TRUE)</f>
        <v>0.20481381597632217</v>
      </c>
      <c r="V81" s="11">
        <f>Database[[#This Row],[C/Lb N]]*$F$14+Database[[#This Row],[C/$ N]]*$F$16+Database[[#This Row],[Pack N]]*$F$15</f>
        <v>5.1051828283091085</v>
      </c>
      <c r="W81" s="32">
        <v>0.14000000000000001</v>
      </c>
      <c r="X81" s="32">
        <v>0.2</v>
      </c>
      <c r="Y81" s="32">
        <v>0.08</v>
      </c>
      <c r="Z81" s="32">
        <v>0.18</v>
      </c>
      <c r="AA81" s="32">
        <v>0.01</v>
      </c>
      <c r="AB81" s="32">
        <v>0</v>
      </c>
      <c r="AC81" s="32">
        <v>0</v>
      </c>
      <c r="AD81" s="32">
        <v>0.12</v>
      </c>
      <c r="AE81" s="32">
        <v>0</v>
      </c>
      <c r="AF81" s="32">
        <v>0</v>
      </c>
      <c r="AG81" s="32">
        <v>0</v>
      </c>
      <c r="AH81" s="32">
        <v>0</v>
      </c>
      <c r="AI81" s="32">
        <v>0.04</v>
      </c>
      <c r="AJ81" s="32">
        <v>0</v>
      </c>
    </row>
    <row r="82" spans="2:36" x14ac:dyDescent="0.2">
      <c r="B82" t="s">
        <v>151</v>
      </c>
      <c r="C82" t="s">
        <v>166</v>
      </c>
      <c r="D82" t="s">
        <v>242</v>
      </c>
      <c r="E82" s="20">
        <f>((Database[[#This Row],[Raw Score]]-MIN(Database[Raw Score]))/(MAX(Database[Raw Score])-MIN(Database[Raw Score])))*10</f>
        <v>4.254963579190953</v>
      </c>
      <c r="F82" s="21">
        <v>2</v>
      </c>
      <c r="G82" s="27" t="s">
        <v>20</v>
      </c>
      <c r="H82" s="27" t="s">
        <v>26</v>
      </c>
      <c r="I82" s="22">
        <v>230</v>
      </c>
      <c r="J82" s="37">
        <v>47.9</v>
      </c>
      <c r="K82" s="38">
        <v>47.9</v>
      </c>
      <c r="L82" s="9">
        <f>IF(Database[[#This Row],[g]],Database[[#This Row],[C]]/Database[[#This Row],[Lb]],0)</f>
        <v>2178.0009415448849</v>
      </c>
      <c r="M82" s="9">
        <f>IF(Database[[#This Row],[$]], Database[[#This Row],[C]]/Database[[#This Row],[$]],0)</f>
        <v>114.99999999999999</v>
      </c>
      <c r="N82" s="25">
        <f>IF(OR(ISBLANK(Database[[#This Row],[Air]]),ISBLANK(Database[[#This Row],[Flex]])),0,VLOOKUP(Database[[#This Row],[Flex]],FlexScore[],2,FALSE)+VLOOKUP(Database[[#This Row],[Air]],AirScore[],2,FALSE))</f>
        <v>4</v>
      </c>
      <c r="O82" s="25">
        <f>Database[[#This Row],[g]]/Database[[#This Row],[g/S]]</f>
        <v>1</v>
      </c>
      <c r="P82" s="42">
        <f>IF(Database[[#This Row],[g]],Database[[#This Row],[g]]/453.59237,0)</f>
        <v>0.10560142358655636</v>
      </c>
      <c r="Q82" s="10">
        <f>Database[[#This Row],[Lb]]*16</f>
        <v>1.6896227773849017</v>
      </c>
      <c r="R82" s="9">
        <f>IF(Database[[#This Row],[g]],(Database[[#This Row],[C/S]]/Database[[#This Row],[g/S]])*Database[[#This Row],[g]],0)</f>
        <v>229.99999999999997</v>
      </c>
      <c r="S82" s="11">
        <f>_xlfn.NORM.DIST(Database[[#This Row],[C/Lb]],$L$127,$L$128,TRUE)</f>
        <v>0.63456419309292011</v>
      </c>
      <c r="T82" s="12">
        <f>_xlfn.NORM.DIST(Database[[#This Row],[Pack]],$N$127,$N$128,TRUE)</f>
        <v>0.2705690307561387</v>
      </c>
      <c r="U82" s="11">
        <f>_xlfn.NORM.DIST(Database[[#This Row],[C/$]],$M$127,$M$128,TRUE)</f>
        <v>0.22590635051425031</v>
      </c>
      <c r="V82" s="11">
        <f>Database[[#This Row],[C/Lb N]]*$F$14+Database[[#This Row],[C/$ N]]*$F$16+Database[[#This Row],[Pack N]]*$F$15</f>
        <v>5.0262422716125492</v>
      </c>
      <c r="W82" s="32">
        <v>0.12</v>
      </c>
      <c r="X82" s="32">
        <v>0.3</v>
      </c>
      <c r="Y82" s="32">
        <v>0</v>
      </c>
      <c r="Z82" s="32">
        <v>0.02</v>
      </c>
      <c r="AA82" s="32">
        <v>0.13</v>
      </c>
      <c r="AB82" s="32">
        <v>0.04</v>
      </c>
      <c r="AC82" s="32">
        <v>0.57999999999999996</v>
      </c>
      <c r="AD82" s="32">
        <v>0.04</v>
      </c>
      <c r="AE82" s="32">
        <v>0</v>
      </c>
      <c r="AF82" s="32">
        <v>0</v>
      </c>
      <c r="AG82" s="32">
        <v>0</v>
      </c>
      <c r="AH82" s="32">
        <v>0.04</v>
      </c>
      <c r="AI82" s="32">
        <v>0.04</v>
      </c>
      <c r="AJ82" s="32">
        <v>0.02</v>
      </c>
    </row>
    <row r="83" spans="2:36" x14ac:dyDescent="0.2">
      <c r="B83" t="s">
        <v>68</v>
      </c>
      <c r="C83" t="s">
        <v>159</v>
      </c>
      <c r="D83" t="s">
        <v>89</v>
      </c>
      <c r="E83" s="20">
        <f>((Database[[#This Row],[Raw Score]]-MIN(Database[Raw Score]))/(MAX(Database[Raw Score])-MIN(Database[Raw Score])))*10</f>
        <v>4.2322108936548855</v>
      </c>
      <c r="F83" s="34">
        <v>2.4900000000000002</v>
      </c>
      <c r="G83" s="27" t="s">
        <v>17</v>
      </c>
      <c r="H83" s="30" t="s">
        <v>22</v>
      </c>
      <c r="I83" s="40">
        <v>200</v>
      </c>
      <c r="J83" s="37">
        <v>56</v>
      </c>
      <c r="K83" s="38">
        <v>198</v>
      </c>
      <c r="L83" s="9">
        <f>IF(Database[[#This Row],[g]],Database[[#This Row],[C]]/Database[[#This Row],[Lb]],0)</f>
        <v>1619.9727500000004</v>
      </c>
      <c r="M83" s="9">
        <f>IF(Database[[#This Row],[$]], Database[[#This Row],[C]]/Database[[#This Row],[$]],0)</f>
        <v>283.99311531841653</v>
      </c>
      <c r="N83" s="25">
        <f>IF(OR(ISBLANK(Database[[#This Row],[Air]]),ISBLANK(Database[[#This Row],[Flex]])),0,VLOOKUP(Database[[#This Row],[Flex]],FlexScore[],2,FALSE)+VLOOKUP(Database[[#This Row],[Air]],AirScore[],2,FALSE))</f>
        <v>7</v>
      </c>
      <c r="O83" s="25">
        <f>Database[[#This Row],[g]]/Database[[#This Row],[g/S]]</f>
        <v>3.5357142857142856</v>
      </c>
      <c r="P83" s="42">
        <f>IF(Database[[#This Row],[g]],Database[[#This Row],[g]]/453.59237,0)</f>
        <v>0.43651527912605759</v>
      </c>
      <c r="Q83" s="10">
        <f>Database[[#This Row],[Lb]]*16</f>
        <v>6.9842444660169214</v>
      </c>
      <c r="R83" s="9">
        <f>IF(Database[[#This Row],[g]],(Database[[#This Row],[C/S]]/Database[[#This Row],[g/S]])*Database[[#This Row],[g]],0)</f>
        <v>707.14285714285722</v>
      </c>
      <c r="S83" s="11">
        <f>_xlfn.NORM.DIST(Database[[#This Row],[C/Lb]],$L$127,$L$128,TRUE)</f>
        <v>0.31925129079911263</v>
      </c>
      <c r="T83" s="12">
        <f>_xlfn.NORM.DIST(Database[[#This Row],[Pack]],$N$127,$N$128,TRUE)</f>
        <v>0.86359597058145221</v>
      </c>
      <c r="U83" s="11">
        <f>_xlfn.NORM.DIST(Database[[#This Row],[C/$]],$M$127,$M$128,TRUE)</f>
        <v>0.45594953686545309</v>
      </c>
      <c r="V83" s="11">
        <f>Database[[#This Row],[C/Lb N]]*$F$14+Database[[#This Row],[C/$ N]]*$F$16+Database[[#This Row],[Pack N]]*$F$15</f>
        <v>5.0105482965539396</v>
      </c>
      <c r="W83" s="32">
        <v>0.01</v>
      </c>
      <c r="X83" s="32">
        <v>0</v>
      </c>
      <c r="Y83" s="32">
        <v>0</v>
      </c>
      <c r="Z83" s="32">
        <v>0</v>
      </c>
      <c r="AA83" s="32">
        <v>0.15</v>
      </c>
      <c r="AB83" s="32">
        <v>0.14000000000000001</v>
      </c>
      <c r="AC83" s="32">
        <v>0</v>
      </c>
      <c r="AD83" s="32">
        <v>0.14000000000000001</v>
      </c>
      <c r="AE83" s="32">
        <v>0</v>
      </c>
      <c r="AF83" s="32">
        <v>0</v>
      </c>
      <c r="AG83" s="32">
        <v>0</v>
      </c>
      <c r="AH83" s="32">
        <v>0</v>
      </c>
      <c r="AI83" s="32">
        <v>0.06</v>
      </c>
      <c r="AJ83" s="32">
        <v>0.02</v>
      </c>
    </row>
    <row r="84" spans="2:36" x14ac:dyDescent="0.2">
      <c r="B84" t="s">
        <v>143</v>
      </c>
      <c r="C84" t="s">
        <v>167</v>
      </c>
      <c r="D84" t="s">
        <v>83</v>
      </c>
      <c r="E84" s="20">
        <f>((Database[[#This Row],[Raw Score]]-MIN(Database[Raw Score]))/(MAX(Database[Raw Score])-MIN(Database[Raw Score])))*10</f>
        <v>4.1474035017382214</v>
      </c>
      <c r="F84" s="34">
        <v>3.69</v>
      </c>
      <c r="G84" s="27" t="s">
        <v>17</v>
      </c>
      <c r="H84" s="30" t="s">
        <v>22</v>
      </c>
      <c r="I84" s="40">
        <v>100</v>
      </c>
      <c r="J84" s="37">
        <f>Database[[#This Row],[g]]/10</f>
        <v>28</v>
      </c>
      <c r="K84" s="38">
        <v>280</v>
      </c>
      <c r="L84" s="9">
        <f>IF(Database[[#This Row],[g]],Database[[#This Row],[C]]/Database[[#This Row],[Lb]],0)</f>
        <v>1619.9727500000001</v>
      </c>
      <c r="M84" s="9">
        <f>IF(Database[[#This Row],[$]], Database[[#This Row],[C]]/Database[[#This Row],[$]],0)</f>
        <v>271.00271002710025</v>
      </c>
      <c r="N84" s="25">
        <f>IF(OR(ISBLANK(Database[[#This Row],[Air]]),ISBLANK(Database[[#This Row],[Flex]])),0,VLOOKUP(Database[[#This Row],[Flex]],FlexScore[],2,FALSE)+VLOOKUP(Database[[#This Row],[Air]],AirScore[],2,FALSE))</f>
        <v>7</v>
      </c>
      <c r="O84" s="25">
        <f>Database[[#This Row],[g]]/Database[[#This Row],[g/S]]</f>
        <v>10</v>
      </c>
      <c r="P84" s="42">
        <f>IF(Database[[#This Row],[g]],Database[[#This Row],[g]]/453.59237,0)</f>
        <v>0.61729433411765722</v>
      </c>
      <c r="Q84" s="10">
        <f>Database[[#This Row],[Lb]]*16</f>
        <v>9.8767093458825155</v>
      </c>
      <c r="R84" s="9">
        <f>IF(Database[[#This Row],[g]],(Database[[#This Row],[C/S]]/Database[[#This Row],[g/S]])*Database[[#This Row],[g]],0)</f>
        <v>1000</v>
      </c>
      <c r="S84" s="11">
        <f>_xlfn.NORM.DIST(Database[[#This Row],[C/Lb]],$L$127,$L$128,TRUE)</f>
        <v>0.31925129079911246</v>
      </c>
      <c r="T84" s="12">
        <f>_xlfn.NORM.DIST(Database[[#This Row],[Pack]],$N$127,$N$128,TRUE)</f>
        <v>0.86359597058145221</v>
      </c>
      <c r="U84" s="11">
        <f>_xlfn.NORM.DIST(Database[[#This Row],[C/$]],$M$127,$M$128,TRUE)</f>
        <v>0.43645051858596284</v>
      </c>
      <c r="V84" s="11">
        <f>Database[[#This Row],[C/Lb N]]*$F$14+Database[[#This Row],[C/$ N]]*$F$16+Database[[#This Row],[Pack N]]*$F$15</f>
        <v>4.9520512417154681</v>
      </c>
      <c r="W84" s="32">
        <v>0.02</v>
      </c>
      <c r="X84" s="32">
        <v>0.03</v>
      </c>
      <c r="Y84" s="32">
        <v>0</v>
      </c>
      <c r="Z84" s="32">
        <v>0.15</v>
      </c>
      <c r="AA84" s="32">
        <v>0.08</v>
      </c>
      <c r="AB84" s="32">
        <v>0.05</v>
      </c>
      <c r="AC84" s="32">
        <v>0</v>
      </c>
      <c r="AD84" s="32">
        <v>0.04</v>
      </c>
      <c r="AE84" s="32">
        <v>0</v>
      </c>
      <c r="AF84" s="32">
        <v>0</v>
      </c>
      <c r="AG84" s="32">
        <v>0</v>
      </c>
      <c r="AH84" s="32">
        <v>0.08</v>
      </c>
      <c r="AI84" s="32">
        <v>0.6</v>
      </c>
      <c r="AJ84" s="32">
        <v>0</v>
      </c>
    </row>
    <row r="85" spans="2:36" x14ac:dyDescent="0.2">
      <c r="B85" t="s">
        <v>154</v>
      </c>
      <c r="C85" t="s">
        <v>168</v>
      </c>
      <c r="D85" t="s">
        <v>83</v>
      </c>
      <c r="E85" s="20">
        <f>((Database[[#This Row],[Raw Score]]-MIN(Database[Raw Score]))/(MAX(Database[Raw Score])-MIN(Database[Raw Score])))*10</f>
        <v>4.0985944663920568</v>
      </c>
      <c r="F85" s="34">
        <v>3.29</v>
      </c>
      <c r="G85" s="27" t="s">
        <v>17</v>
      </c>
      <c r="H85" s="30" t="s">
        <v>25</v>
      </c>
      <c r="I85" s="40">
        <v>150</v>
      </c>
      <c r="J85" s="37">
        <f>Database[[#This Row],[g]]/10</f>
        <v>49.6</v>
      </c>
      <c r="K85" s="38">
        <v>496</v>
      </c>
      <c r="L85" s="9">
        <f>IF(Database[[#This Row],[g]],Database[[#This Row],[C]]/Database[[#This Row],[Lb]],0)</f>
        <v>1371.7511189516129</v>
      </c>
      <c r="M85" s="9">
        <f>IF(Database[[#This Row],[$]], Database[[#This Row],[C]]/Database[[#This Row],[$]],0)</f>
        <v>455.92705167173244</v>
      </c>
      <c r="N85" s="25">
        <f>IF(OR(ISBLANK(Database[[#This Row],[Air]]),ISBLANK(Database[[#This Row],[Flex]])),0,VLOOKUP(Database[[#This Row],[Flex]],FlexScore[],2,FALSE)+VLOOKUP(Database[[#This Row],[Air]],AirScore[],2,FALSE))</f>
        <v>6.5</v>
      </c>
      <c r="O85" s="25">
        <f>Database[[#This Row],[g]]/Database[[#This Row],[g/S]]</f>
        <v>10</v>
      </c>
      <c r="P85" s="42">
        <f>IF(Database[[#This Row],[g]],Database[[#This Row],[g]]/453.59237,0)</f>
        <v>1.0934928204369927</v>
      </c>
      <c r="Q85" s="10">
        <f>Database[[#This Row],[Lb]]*16</f>
        <v>17.495885126991883</v>
      </c>
      <c r="R85" s="9">
        <f>IF(Database[[#This Row],[g]],(Database[[#This Row],[C/S]]/Database[[#This Row],[g/S]])*Database[[#This Row],[g]],0)</f>
        <v>1499.9999999999998</v>
      </c>
      <c r="S85" s="11">
        <f>_xlfn.NORM.DIST(Database[[#This Row],[C/Lb]],$L$127,$L$128,TRUE)</f>
        <v>0.20276955573239691</v>
      </c>
      <c r="T85" s="12">
        <f>_xlfn.NORM.DIST(Database[[#This Row],[Pack]],$N$127,$N$128,TRUE)</f>
        <v>0.7916042392722078</v>
      </c>
      <c r="U85" s="11">
        <f>_xlfn.NORM.DIST(Database[[#This Row],[C/$]],$M$127,$M$128,TRUE)</f>
        <v>0.70618624372809469</v>
      </c>
      <c r="V85" s="11">
        <f>Database[[#This Row],[C/Lb N]]*$F$14+Database[[#This Row],[C/$ N]]*$F$16+Database[[#This Row],[Pack N]]*$F$15</f>
        <v>4.9183845441230805</v>
      </c>
      <c r="W85" s="32">
        <v>0.06</v>
      </c>
      <c r="X85" s="32">
        <v>0.1</v>
      </c>
      <c r="Y85" s="32">
        <v>0</v>
      </c>
      <c r="Z85" s="32">
        <v>0.11</v>
      </c>
      <c r="AA85" s="32">
        <v>0.08</v>
      </c>
      <c r="AB85" s="32">
        <v>0.04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0.06</v>
      </c>
    </row>
    <row r="86" spans="2:36" x14ac:dyDescent="0.2">
      <c r="B86" t="s">
        <v>169</v>
      </c>
      <c r="C86" t="s">
        <v>170</v>
      </c>
      <c r="D86" t="s">
        <v>242</v>
      </c>
      <c r="E86" s="20">
        <f>((Database[[#This Row],[Raw Score]]-MIN(Database[Raw Score]))/(MAX(Database[Raw Score])-MIN(Database[Raw Score])))*10</f>
        <v>4.0973901626110756</v>
      </c>
      <c r="F86" s="21">
        <v>2</v>
      </c>
      <c r="G86" s="27" t="s">
        <v>17</v>
      </c>
      <c r="H86" s="27" t="s">
        <v>27</v>
      </c>
      <c r="I86" s="22">
        <v>570</v>
      </c>
      <c r="J86" s="37">
        <v>142</v>
      </c>
      <c r="K86" s="38">
        <v>142</v>
      </c>
      <c r="L86" s="9">
        <f>IF(Database[[#This Row],[g]],Database[[#This Row],[C]]/Database[[#This Row],[Lb]],0)</f>
        <v>1820.7581049295777</v>
      </c>
      <c r="M86" s="9">
        <f>IF(Database[[#This Row],[$]], Database[[#This Row],[C]]/Database[[#This Row],[$]],0)</f>
        <v>285.00000000000006</v>
      </c>
      <c r="N86" s="25">
        <f>IF(OR(ISBLANK(Database[[#This Row],[Air]]),ISBLANK(Database[[#This Row],[Flex]])),0,VLOOKUP(Database[[#This Row],[Flex]],FlexScore[],2,FALSE)+VLOOKUP(Database[[#This Row],[Air]],AirScore[],2,FALSE))</f>
        <v>5</v>
      </c>
      <c r="O86" s="25">
        <f>Database[[#This Row],[g]]/Database[[#This Row],[g/S]]</f>
        <v>1</v>
      </c>
      <c r="P86" s="42">
        <f>IF(Database[[#This Row],[g]],Database[[#This Row],[g]]/453.59237,0)</f>
        <v>0.31305641230252618</v>
      </c>
      <c r="Q86" s="10">
        <f>Database[[#This Row],[Lb]]*16</f>
        <v>5.0089025968404188</v>
      </c>
      <c r="R86" s="9">
        <f>IF(Database[[#This Row],[g]],(Database[[#This Row],[C/S]]/Database[[#This Row],[g/S]])*Database[[#This Row],[g]],0)</f>
        <v>570.00000000000011</v>
      </c>
      <c r="S86" s="11">
        <f>_xlfn.NORM.DIST(Database[[#This Row],[C/Lb]],$L$127,$L$128,TRUE)</f>
        <v>0.4297570372652289</v>
      </c>
      <c r="T86" s="12">
        <f>_xlfn.NORM.DIST(Database[[#This Row],[Pack]],$N$127,$N$128,TRUE)</f>
        <v>0.48330687382898091</v>
      </c>
      <c r="U86" s="11">
        <f>_xlfn.NORM.DIST(Database[[#This Row],[C/$]],$M$127,$M$128,TRUE)</f>
        <v>0.45746596264044542</v>
      </c>
      <c r="V86" s="11">
        <f>Database[[#This Row],[C/Lb N]]*$F$14+Database[[#This Row],[C/$ N]]*$F$16+Database[[#This Row],[Pack N]]*$F$15</f>
        <v>4.9175538591706713</v>
      </c>
      <c r="W86" s="32">
        <v>0.25</v>
      </c>
      <c r="X86" s="32">
        <v>0.35</v>
      </c>
      <c r="Y86" s="32">
        <v>0</v>
      </c>
      <c r="Z86" s="32">
        <v>0.1</v>
      </c>
      <c r="AA86" s="32">
        <v>0.19</v>
      </c>
      <c r="AB86" s="32">
        <v>0.04</v>
      </c>
      <c r="AC86" s="32">
        <v>0.88</v>
      </c>
      <c r="AD86" s="32">
        <v>0.1</v>
      </c>
      <c r="AE86" s="32">
        <v>0</v>
      </c>
      <c r="AF86" s="32">
        <v>0</v>
      </c>
      <c r="AG86" s="32">
        <v>0</v>
      </c>
      <c r="AH86" s="32">
        <v>0.13</v>
      </c>
      <c r="AI86" s="32">
        <v>0.1</v>
      </c>
      <c r="AJ86" s="32">
        <v>0.02</v>
      </c>
    </row>
    <row r="87" spans="2:36" x14ac:dyDescent="0.2">
      <c r="B87" t="s">
        <v>114</v>
      </c>
      <c r="C87" t="s">
        <v>171</v>
      </c>
      <c r="D87" t="s">
        <v>71</v>
      </c>
      <c r="E87" s="20">
        <f>((Database[[#This Row],[Raw Score]]-MIN(Database[Raw Score]))/(MAX(Database[Raw Score])-MIN(Database[Raw Score])))*10</f>
        <v>3.9846753326134903</v>
      </c>
      <c r="F87" s="21">
        <v>3.69</v>
      </c>
      <c r="G87" s="27" t="s">
        <v>23</v>
      </c>
      <c r="H87" s="27" t="s">
        <v>26</v>
      </c>
      <c r="I87" s="39">
        <v>140</v>
      </c>
      <c r="J87" s="37">
        <v>30</v>
      </c>
      <c r="K87" s="38">
        <v>187</v>
      </c>
      <c r="L87" s="9">
        <f>IF(Database[[#This Row],[g]],Database[[#This Row],[C]]/Database[[#This Row],[Lb]],0)</f>
        <v>2116.7643933333334</v>
      </c>
      <c r="M87" s="9">
        <f>IF(Database[[#This Row],[$]], Database[[#This Row],[C]]/Database[[#This Row],[$]],0)</f>
        <v>236.49503161698286</v>
      </c>
      <c r="N87" s="25">
        <f>IF(OR(ISBLANK(Database[[#This Row],[Air]]),ISBLANK(Database[[#This Row],[Flex]])),0,VLOOKUP(Database[[#This Row],[Flex]],FlexScore[],2,FALSE)+VLOOKUP(Database[[#This Row],[Air]],AirScore[],2,FALSE))</f>
        <v>2</v>
      </c>
      <c r="O87" s="25">
        <f>Database[[#This Row],[g]]/Database[[#This Row],[g/S]]</f>
        <v>6.2333333333333334</v>
      </c>
      <c r="P87" s="42">
        <f>IF(Database[[#This Row],[g]],Database[[#This Row],[g]]/453.59237,0)</f>
        <v>0.41226443028572107</v>
      </c>
      <c r="Q87" s="10">
        <f>Database[[#This Row],[Lb]]*16</f>
        <v>6.5962308845715372</v>
      </c>
      <c r="R87" s="9">
        <f>IF(Database[[#This Row],[g]],(Database[[#This Row],[C/S]]/Database[[#This Row],[g/S]])*Database[[#This Row],[g]],0)</f>
        <v>872.66666666666674</v>
      </c>
      <c r="S87" s="11">
        <f>_xlfn.NORM.DIST(Database[[#This Row],[C/Lb]],$L$127,$L$128,TRUE)</f>
        <v>0.60050963816701164</v>
      </c>
      <c r="T87" s="12">
        <f>_xlfn.NORM.DIST(Database[[#This Row],[Pack]],$N$127,$N$128,TRUE)</f>
        <v>4.0096492533184723E-2</v>
      </c>
      <c r="U87" s="11">
        <f>_xlfn.NORM.DIST(Database[[#This Row],[C/$]],$M$127,$M$128,TRUE)</f>
        <v>0.38551881811914818</v>
      </c>
      <c r="V87" s="11">
        <f>Database[[#This Row],[C/Lb N]]*$F$14+Database[[#This Row],[C/$ N]]*$F$16+Database[[#This Row],[Pack N]]*$F$15</f>
        <v>4.8398072684258837</v>
      </c>
      <c r="W87" s="32">
        <v>0.06</v>
      </c>
      <c r="X87" s="32">
        <v>0.05</v>
      </c>
      <c r="Y87" s="32">
        <v>0.03</v>
      </c>
      <c r="Z87" s="32">
        <v>0.11</v>
      </c>
      <c r="AA87" s="32">
        <v>7.0000000000000007E-2</v>
      </c>
      <c r="AB87" s="32">
        <v>0.04</v>
      </c>
      <c r="AC87" s="32">
        <v>0</v>
      </c>
      <c r="AD87" s="32">
        <v>0.06</v>
      </c>
      <c r="AE87" s="32">
        <v>0</v>
      </c>
      <c r="AF87" s="32">
        <v>0</v>
      </c>
      <c r="AG87" s="32">
        <v>0</v>
      </c>
      <c r="AH87" s="32">
        <v>0.04</v>
      </c>
      <c r="AI87" s="32">
        <v>0.08</v>
      </c>
      <c r="AJ87" s="32">
        <v>0</v>
      </c>
    </row>
    <row r="88" spans="2:36" x14ac:dyDescent="0.2">
      <c r="B88" t="s">
        <v>172</v>
      </c>
      <c r="C88" t="s">
        <v>173</v>
      </c>
      <c r="D88" t="s">
        <v>83</v>
      </c>
      <c r="E88" s="20">
        <f>((Database[[#This Row],[Raw Score]]-MIN(Database[Raw Score]))/(MAX(Database[Raw Score])-MIN(Database[Raw Score])))*10</f>
        <v>3.9425479259189791</v>
      </c>
      <c r="F88" s="21">
        <v>3.39</v>
      </c>
      <c r="G88" s="27" t="s">
        <v>17</v>
      </c>
      <c r="H88" s="27" t="s">
        <v>25</v>
      </c>
      <c r="I88" s="22">
        <v>140</v>
      </c>
      <c r="J88" s="37">
        <v>45.4</v>
      </c>
      <c r="K88" s="38">
        <v>454</v>
      </c>
      <c r="L88" s="9">
        <f>IF(Database[[#This Row],[g]],Database[[#This Row],[C]]/Database[[#This Row],[Lb]],0)</f>
        <v>1398.7429911894276</v>
      </c>
      <c r="M88" s="9">
        <f>IF(Database[[#This Row],[$]], Database[[#This Row],[C]]/Database[[#This Row],[$]],0)</f>
        <v>412.97935103244833</v>
      </c>
      <c r="N88" s="25">
        <f>IF(OR(ISBLANK(Database[[#This Row],[Air]]),ISBLANK(Database[[#This Row],[Flex]])),0,VLOOKUP(Database[[#This Row],[Flex]],FlexScore[],2,FALSE)+VLOOKUP(Database[[#This Row],[Air]],AirScore[],2,FALSE))</f>
        <v>6.5</v>
      </c>
      <c r="O88" s="25">
        <f>Database[[#This Row],[g]]/Database[[#This Row],[g/S]]</f>
        <v>10</v>
      </c>
      <c r="P88" s="42">
        <f>IF(Database[[#This Row],[g]],Database[[#This Row],[g]]/453.59237,0)</f>
        <v>1.0008986703193441</v>
      </c>
      <c r="Q88" s="10">
        <f>Database[[#This Row],[Lb]]*16</f>
        <v>16.014378725109506</v>
      </c>
      <c r="R88" s="9">
        <f>IF(Database[[#This Row],[g]],(Database[[#This Row],[C/S]]/Database[[#This Row],[g/S]])*Database[[#This Row],[g]],0)</f>
        <v>1400</v>
      </c>
      <c r="S88" s="11">
        <f>_xlfn.NORM.DIST(Database[[#This Row],[C/Lb]],$L$127,$L$128,TRUE)</f>
        <v>0.21406147173173684</v>
      </c>
      <c r="T88" s="12">
        <f>_xlfn.NORM.DIST(Database[[#This Row],[Pack]],$N$127,$N$128,TRUE)</f>
        <v>0.7916042392722078</v>
      </c>
      <c r="U88" s="11">
        <f>_xlfn.NORM.DIST(Database[[#This Row],[C/$]],$M$127,$M$128,TRUE)</f>
        <v>0.64772400211948644</v>
      </c>
      <c r="V88" s="11">
        <f>Database[[#This Row],[C/Lb N]]*$F$14+Database[[#This Row],[C/$ N]]*$F$16+Database[[#This Row],[Pack N]]*$F$15</f>
        <v>4.8107493152932959</v>
      </c>
      <c r="W88" s="32">
        <v>0.05</v>
      </c>
      <c r="X88" s="32">
        <v>0.1</v>
      </c>
      <c r="Y88" s="32">
        <v>0</v>
      </c>
      <c r="Z88" s="32">
        <v>0.1</v>
      </c>
      <c r="AA88" s="32">
        <v>0.08</v>
      </c>
      <c r="AB88" s="32">
        <v>0.04</v>
      </c>
      <c r="AC88" s="32">
        <v>0</v>
      </c>
      <c r="AD88" s="32">
        <v>0.06</v>
      </c>
      <c r="AE88" s="32">
        <v>0</v>
      </c>
      <c r="AF88" s="32">
        <v>0</v>
      </c>
      <c r="AG88" s="32">
        <v>0</v>
      </c>
      <c r="AH88" s="32">
        <v>0.04</v>
      </c>
      <c r="AI88" s="32">
        <v>0.06</v>
      </c>
      <c r="AJ88" s="32">
        <v>0</v>
      </c>
    </row>
    <row r="89" spans="2:36" x14ac:dyDescent="0.2">
      <c r="B89" t="s">
        <v>174</v>
      </c>
      <c r="C89" t="s">
        <v>173</v>
      </c>
      <c r="D89" t="s">
        <v>83</v>
      </c>
      <c r="E89" s="20">
        <f>((Database[[#This Row],[Raw Score]]-MIN(Database[Raw Score]))/(MAX(Database[Raw Score])-MIN(Database[Raw Score])))*10</f>
        <v>3.9425479259189791</v>
      </c>
      <c r="F89" s="21">
        <v>3.39</v>
      </c>
      <c r="G89" s="27" t="s">
        <v>17</v>
      </c>
      <c r="H89" s="27" t="s">
        <v>25</v>
      </c>
      <c r="I89" s="22">
        <v>140</v>
      </c>
      <c r="J89" s="37">
        <v>45.4</v>
      </c>
      <c r="K89" s="38">
        <v>454</v>
      </c>
      <c r="L89" s="9">
        <f>IF(Database[[#This Row],[g]],Database[[#This Row],[C]]/Database[[#This Row],[Lb]],0)</f>
        <v>1398.7429911894276</v>
      </c>
      <c r="M89" s="9">
        <f>IF(Database[[#This Row],[$]], Database[[#This Row],[C]]/Database[[#This Row],[$]],0)</f>
        <v>412.97935103244833</v>
      </c>
      <c r="N89" s="25">
        <f>IF(OR(ISBLANK(Database[[#This Row],[Air]]),ISBLANK(Database[[#This Row],[Flex]])),0,VLOOKUP(Database[[#This Row],[Flex]],FlexScore[],2,FALSE)+VLOOKUP(Database[[#This Row],[Air]],AirScore[],2,FALSE))</f>
        <v>6.5</v>
      </c>
      <c r="O89" s="25">
        <f>Database[[#This Row],[g]]/Database[[#This Row],[g/S]]</f>
        <v>10</v>
      </c>
      <c r="P89" s="42">
        <f>IF(Database[[#This Row],[g]],Database[[#This Row],[g]]/453.59237,0)</f>
        <v>1.0008986703193441</v>
      </c>
      <c r="Q89" s="10">
        <f>Database[[#This Row],[Lb]]*16</f>
        <v>16.014378725109506</v>
      </c>
      <c r="R89" s="9">
        <f>IF(Database[[#This Row],[g]],(Database[[#This Row],[C/S]]/Database[[#This Row],[g/S]])*Database[[#This Row],[g]],0)</f>
        <v>1400</v>
      </c>
      <c r="S89" s="11">
        <f>_xlfn.NORM.DIST(Database[[#This Row],[C/Lb]],$L$127,$L$128,TRUE)</f>
        <v>0.21406147173173684</v>
      </c>
      <c r="T89" s="12">
        <f>_xlfn.NORM.DIST(Database[[#This Row],[Pack]],$N$127,$N$128,TRUE)</f>
        <v>0.7916042392722078</v>
      </c>
      <c r="U89" s="11">
        <f>_xlfn.NORM.DIST(Database[[#This Row],[C/$]],$M$127,$M$128,TRUE)</f>
        <v>0.64772400211948644</v>
      </c>
      <c r="V89" s="11">
        <f>Database[[#This Row],[C/Lb N]]*$F$14+Database[[#This Row],[C/$ N]]*$F$16+Database[[#This Row],[Pack N]]*$F$15</f>
        <v>4.8107493152932959</v>
      </c>
      <c r="W89" s="32">
        <v>0.05</v>
      </c>
      <c r="X89" s="32">
        <v>0.1</v>
      </c>
      <c r="Y89" s="32">
        <v>0</v>
      </c>
      <c r="Z89" s="32">
        <v>0.1</v>
      </c>
      <c r="AA89" s="32">
        <v>0.08</v>
      </c>
      <c r="AB89" s="32">
        <v>0.04</v>
      </c>
      <c r="AC89" s="32">
        <v>0</v>
      </c>
      <c r="AD89" s="32">
        <v>0.06</v>
      </c>
      <c r="AE89" s="32">
        <v>0</v>
      </c>
      <c r="AF89" s="32">
        <v>0</v>
      </c>
      <c r="AG89" s="32">
        <v>0</v>
      </c>
      <c r="AH89" s="32">
        <v>0.04</v>
      </c>
      <c r="AI89" s="32">
        <v>0.06</v>
      </c>
      <c r="AJ89" s="32">
        <v>0</v>
      </c>
    </row>
    <row r="90" spans="2:36" x14ac:dyDescent="0.2">
      <c r="B90" t="s">
        <v>175</v>
      </c>
      <c r="C90" t="s">
        <v>176</v>
      </c>
      <c r="D90" t="s">
        <v>66</v>
      </c>
      <c r="E90" s="20">
        <f>((Database[[#This Row],[Raw Score]]-MIN(Database[Raw Score]))/(MAX(Database[Raw Score])-MIN(Database[Raw Score])))*10</f>
        <v>3.8175320438788338</v>
      </c>
      <c r="F90" s="21">
        <v>2</v>
      </c>
      <c r="G90" s="27" t="s">
        <v>17</v>
      </c>
      <c r="H90" s="27" t="s">
        <v>27</v>
      </c>
      <c r="I90" s="22">
        <v>290</v>
      </c>
      <c r="J90" s="37">
        <v>68</v>
      </c>
      <c r="K90" s="38">
        <v>68</v>
      </c>
      <c r="L90" s="9">
        <f>IF(Database[[#This Row],[g]],Database[[#This Row],[C]]/Database[[#This Row],[Lb]],0)</f>
        <v>1934.4380485294121</v>
      </c>
      <c r="M90" s="9">
        <f>IF(Database[[#This Row],[$]], Database[[#This Row],[C]]/Database[[#This Row],[$]],0)</f>
        <v>145</v>
      </c>
      <c r="N90" s="25">
        <f>IF(OR(ISBLANK(Database[[#This Row],[Air]]),ISBLANK(Database[[#This Row],[Flex]])),0,VLOOKUP(Database[[#This Row],[Flex]],FlexScore[],2,FALSE)+VLOOKUP(Database[[#This Row],[Air]],AirScore[],2,FALSE))</f>
        <v>5</v>
      </c>
      <c r="O90" s="25">
        <f>Database[[#This Row],[g]]/Database[[#This Row],[g/S]]</f>
        <v>1</v>
      </c>
      <c r="P90" s="42">
        <f>IF(Database[[#This Row],[g]],Database[[#This Row],[g]]/453.59237,0)</f>
        <v>0.14991433828571674</v>
      </c>
      <c r="Q90" s="10">
        <f>Database[[#This Row],[Lb]]*16</f>
        <v>2.3986294125714678</v>
      </c>
      <c r="R90" s="9">
        <f>IF(Database[[#This Row],[g]],(Database[[#This Row],[C/S]]/Database[[#This Row],[g/S]])*Database[[#This Row],[g]],0)</f>
        <v>290</v>
      </c>
      <c r="S90" s="11">
        <f>_xlfn.NORM.DIST(Database[[#This Row],[C/Lb]],$L$127,$L$128,TRUE)</f>
        <v>0.49552560011536473</v>
      </c>
      <c r="T90" s="12">
        <f>_xlfn.NORM.DIST(Database[[#This Row],[Pack]],$N$127,$N$128,TRUE)</f>
        <v>0.48330687382898091</v>
      </c>
      <c r="U90" s="11">
        <f>_xlfn.NORM.DIST(Database[[#This Row],[C/$]],$M$127,$M$128,TRUE)</f>
        <v>0.2615835192798211</v>
      </c>
      <c r="V90" s="11">
        <f>Database[[#This Row],[C/Lb N]]*$F$14+Database[[#This Row],[C/$ N]]*$F$16+Database[[#This Row],[Pack N]]*$F$15</f>
        <v>4.7245179061896136</v>
      </c>
      <c r="W90" s="32">
        <v>0.12</v>
      </c>
      <c r="X90" s="32">
        <v>0.26</v>
      </c>
      <c r="Y90" s="32">
        <v>0</v>
      </c>
      <c r="Z90" s="32">
        <v>0.1</v>
      </c>
      <c r="AA90" s="32">
        <v>0.11</v>
      </c>
      <c r="AB90" s="32">
        <v>0.15</v>
      </c>
      <c r="AC90" s="32">
        <v>0.34</v>
      </c>
      <c r="AD90" s="32">
        <v>0.4</v>
      </c>
      <c r="AE90" s="32">
        <v>0</v>
      </c>
      <c r="AF90" s="32">
        <v>0</v>
      </c>
      <c r="AG90" s="32">
        <v>0</v>
      </c>
      <c r="AH90" s="32">
        <v>0.04</v>
      </c>
      <c r="AI90" s="32">
        <v>0.2</v>
      </c>
      <c r="AJ90" s="32">
        <v>0.04</v>
      </c>
    </row>
    <row r="91" spans="2:36" x14ac:dyDescent="0.2">
      <c r="B91" t="s">
        <v>68</v>
      </c>
      <c r="C91" t="s">
        <v>177</v>
      </c>
      <c r="D91" t="s">
        <v>83</v>
      </c>
      <c r="E91" s="20">
        <f>((Database[[#This Row],[Raw Score]]-MIN(Database[Raw Score]))/(MAX(Database[Raw Score])-MIN(Database[Raw Score])))*10</f>
        <v>3.8041125245831324</v>
      </c>
      <c r="F91" s="21">
        <v>0.48</v>
      </c>
      <c r="G91" s="27" t="s">
        <v>17</v>
      </c>
      <c r="H91" s="27" t="s">
        <v>22</v>
      </c>
      <c r="I91" s="22">
        <v>100</v>
      </c>
      <c r="J91" s="37">
        <v>27.8</v>
      </c>
      <c r="K91" s="38">
        <v>27.8</v>
      </c>
      <c r="L91" s="9">
        <f>IF(Database[[#This Row],[g]],Database[[#This Row],[C]]/Database[[#This Row],[Lb]],0)</f>
        <v>1631.6272302158272</v>
      </c>
      <c r="M91" s="9">
        <f>IF(Database[[#This Row],[$]], Database[[#This Row],[C]]/Database[[#This Row],[$]],0)</f>
        <v>208.33333333333334</v>
      </c>
      <c r="N91" s="25">
        <f>IF(OR(ISBLANK(Database[[#This Row],[Air]]),ISBLANK(Database[[#This Row],[Flex]])),0,VLOOKUP(Database[[#This Row],[Flex]],FlexScore[],2,FALSE)+VLOOKUP(Database[[#This Row],[Air]],AirScore[],2,FALSE))</f>
        <v>7</v>
      </c>
      <c r="O91" s="25">
        <f>Database[[#This Row],[g]]/Database[[#This Row],[g/S]]</f>
        <v>1</v>
      </c>
      <c r="P91" s="42">
        <f>IF(Database[[#This Row],[g]],Database[[#This Row],[g]]/453.59237,0)</f>
        <v>6.1288508887395968E-2</v>
      </c>
      <c r="Q91" s="10">
        <f>Database[[#This Row],[Lb]]*16</f>
        <v>0.98061614219833548</v>
      </c>
      <c r="R91" s="9">
        <f>IF(Database[[#This Row],[g]],(Database[[#This Row],[C/S]]/Database[[#This Row],[g/S]])*Database[[#This Row],[g]],0)</f>
        <v>100</v>
      </c>
      <c r="S91" s="11">
        <f>_xlfn.NORM.DIST(Database[[#This Row],[C/Lb]],$L$127,$L$128,TRUE)</f>
        <v>0.32534710005939038</v>
      </c>
      <c r="T91" s="12">
        <f>_xlfn.NORM.DIST(Database[[#This Row],[Pack]],$N$127,$N$128,TRUE)</f>
        <v>0.86359597058145221</v>
      </c>
      <c r="U91" s="11">
        <f>_xlfn.NORM.DIST(Database[[#This Row],[C/$]],$M$127,$M$128,TRUE)</f>
        <v>0.3453290227581452</v>
      </c>
      <c r="V91" s="11">
        <f>Database[[#This Row],[C/Lb N]]*$F$14+Database[[#This Row],[C/$ N]]*$F$16+Database[[#This Row],[Pack N]]*$F$15</f>
        <v>4.7152616097936821</v>
      </c>
      <c r="W91" s="32">
        <v>0.01</v>
      </c>
      <c r="X91" s="32">
        <v>0</v>
      </c>
      <c r="Y91" s="32">
        <v>0</v>
      </c>
      <c r="Z91" s="32">
        <v>0</v>
      </c>
      <c r="AA91" s="32">
        <v>0.11</v>
      </c>
      <c r="AB91" s="32">
        <v>0.04</v>
      </c>
      <c r="AC91" s="32">
        <v>0</v>
      </c>
      <c r="AD91" s="32">
        <v>0.03</v>
      </c>
      <c r="AE91" s="32">
        <v>0</v>
      </c>
      <c r="AF91" s="32">
        <v>0</v>
      </c>
      <c r="AG91" s="32">
        <v>0</v>
      </c>
      <c r="AH91" s="32">
        <v>0</v>
      </c>
      <c r="AI91" s="32">
        <v>0.08</v>
      </c>
      <c r="AJ91" s="32">
        <v>0</v>
      </c>
    </row>
    <row r="92" spans="2:36" x14ac:dyDescent="0.2">
      <c r="B92" t="s">
        <v>178</v>
      </c>
      <c r="C92" t="s">
        <v>179</v>
      </c>
      <c r="D92" t="s">
        <v>83</v>
      </c>
      <c r="E92" s="20">
        <f>((Database[[#This Row],[Raw Score]]-MIN(Database[Raw Score]))/(MAX(Database[Raw Score])-MIN(Database[Raw Score])))*10</f>
        <v>3.5900323808916115</v>
      </c>
      <c r="F92" s="34">
        <v>3.29</v>
      </c>
      <c r="G92" s="27" t="s">
        <v>17</v>
      </c>
      <c r="H92" s="30" t="s">
        <v>22</v>
      </c>
      <c r="I92" s="40">
        <v>200</v>
      </c>
      <c r="J92" s="37">
        <v>56</v>
      </c>
      <c r="K92" s="38">
        <v>167</v>
      </c>
      <c r="L92" s="9">
        <f>IF(Database[[#This Row],[g]],Database[[#This Row],[C]]/Database[[#This Row],[Lb]],0)</f>
        <v>1619.9727500000001</v>
      </c>
      <c r="M92" s="9">
        <f>IF(Database[[#This Row],[$]], Database[[#This Row],[C]]/Database[[#This Row],[$]],0)</f>
        <v>181.2852800694746</v>
      </c>
      <c r="N92" s="25">
        <f>IF(OR(ISBLANK(Database[[#This Row],[Air]]),ISBLANK(Database[[#This Row],[Flex]])),0,VLOOKUP(Database[[#This Row],[Flex]],FlexScore[],2,FALSE)+VLOOKUP(Database[[#This Row],[Air]],AirScore[],2,FALSE))</f>
        <v>7</v>
      </c>
      <c r="O92" s="25">
        <f>Database[[#This Row],[g]]/Database[[#This Row],[g/S]]</f>
        <v>2.9821428571428572</v>
      </c>
      <c r="P92" s="42">
        <f>IF(Database[[#This Row],[g]],Database[[#This Row],[g]]/453.59237,0)</f>
        <v>0.36817197784874556</v>
      </c>
      <c r="Q92" s="10">
        <f>Database[[#This Row],[Lb]]*16</f>
        <v>5.8907516455799289</v>
      </c>
      <c r="R92" s="9">
        <f>IF(Database[[#This Row],[g]],(Database[[#This Row],[C/S]]/Database[[#This Row],[g/S]])*Database[[#This Row],[g]],0)</f>
        <v>596.42857142857144</v>
      </c>
      <c r="S92" s="11">
        <f>_xlfn.NORM.DIST(Database[[#This Row],[C/Lb]],$L$127,$L$128,TRUE)</f>
        <v>0.31925129079911246</v>
      </c>
      <c r="T92" s="12">
        <f>_xlfn.NORM.DIST(Database[[#This Row],[Pack]],$N$127,$N$128,TRUE)</f>
        <v>0.86359597058145221</v>
      </c>
      <c r="U92" s="11">
        <f>_xlfn.NORM.DIST(Database[[#This Row],[C/$]],$M$127,$M$128,TRUE)</f>
        <v>0.30829907531875694</v>
      </c>
      <c r="V92" s="11">
        <f>Database[[#This Row],[C/Lb N]]*$F$14+Database[[#This Row],[C/$ N]]*$F$16+Database[[#This Row],[Pack N]]*$F$15</f>
        <v>4.5675969119138502</v>
      </c>
      <c r="W92" s="32">
        <v>0.02</v>
      </c>
      <c r="X92" s="32">
        <v>0.03</v>
      </c>
      <c r="Y92" s="32">
        <v>0.01</v>
      </c>
      <c r="Z92" s="32">
        <v>0.22</v>
      </c>
      <c r="AA92" s="32">
        <v>0.14000000000000001</v>
      </c>
      <c r="AB92" s="32">
        <v>7.0000000000000007E-2</v>
      </c>
      <c r="AC92" s="32">
        <v>0</v>
      </c>
      <c r="AD92" s="32">
        <v>0.16</v>
      </c>
      <c r="AE92" s="32">
        <v>0</v>
      </c>
      <c r="AF92" s="32">
        <v>0</v>
      </c>
      <c r="AG92" s="32">
        <v>0</v>
      </c>
      <c r="AH92" s="32">
        <v>0.04</v>
      </c>
      <c r="AI92" s="32">
        <v>0.1</v>
      </c>
      <c r="AJ92" s="32">
        <v>0.02</v>
      </c>
    </row>
    <row r="93" spans="2:36" x14ac:dyDescent="0.2">
      <c r="B93" t="s">
        <v>68</v>
      </c>
      <c r="C93" t="s">
        <v>180</v>
      </c>
      <c r="D93" t="s">
        <v>243</v>
      </c>
      <c r="E93" s="20">
        <f>((Database[[#This Row],[Raw Score]]-MIN(Database[Raw Score]))/(MAX(Database[Raw Score])-MIN(Database[Raw Score])))*10</f>
        <v>3.5797895881588815</v>
      </c>
      <c r="F93" s="21">
        <v>2.58</v>
      </c>
      <c r="G93" s="27" t="s">
        <v>17</v>
      </c>
      <c r="H93" s="27" t="s">
        <v>28</v>
      </c>
      <c r="I93" s="39">
        <v>110</v>
      </c>
      <c r="J93" s="37">
        <f>226/8</f>
        <v>28.25</v>
      </c>
      <c r="K93" s="38">
        <v>226</v>
      </c>
      <c r="L93" s="9">
        <f>IF(Database[[#This Row],[g]],Database[[#This Row],[C]]/Database[[#This Row],[Lb]],0)</f>
        <v>1766.200378761062</v>
      </c>
      <c r="M93" s="9">
        <f>IF(Database[[#This Row],[$]], Database[[#This Row],[C]]/Database[[#This Row],[$]],0)</f>
        <v>341.08527131782944</v>
      </c>
      <c r="N93" s="25">
        <f>IF(OR(ISBLANK(Database[[#This Row],[Air]]),ISBLANK(Database[[#This Row],[Flex]])),0,VLOOKUP(Database[[#This Row],[Flex]],FlexScore[],2,FALSE)+VLOOKUP(Database[[#This Row],[Air]],AirScore[],2,FALSE))</f>
        <v>4</v>
      </c>
      <c r="O93" s="25">
        <f>Database[[#This Row],[g]]/Database[[#This Row],[g/S]]</f>
        <v>8</v>
      </c>
      <c r="P93" s="42">
        <f>IF(Database[[#This Row],[g]],Database[[#This Row],[g]]/453.59237,0)</f>
        <v>0.49824471253782332</v>
      </c>
      <c r="Q93" s="10">
        <f>Database[[#This Row],[Lb]]*16</f>
        <v>7.9719154006051731</v>
      </c>
      <c r="R93" s="9">
        <f>IF(Database[[#This Row],[g]],(Database[[#This Row],[C/S]]/Database[[#This Row],[g/S]])*Database[[#This Row],[g]],0)</f>
        <v>880</v>
      </c>
      <c r="S93" s="11">
        <f>_xlfn.NORM.DIST(Database[[#This Row],[C/Lb]],$L$127,$L$128,TRUE)</f>
        <v>0.39876191106538211</v>
      </c>
      <c r="T93" s="12">
        <f>_xlfn.NORM.DIST(Database[[#This Row],[Pack]],$N$127,$N$128,TRUE)</f>
        <v>0.2705690307561387</v>
      </c>
      <c r="U93" s="11">
        <f>_xlfn.NORM.DIST(Database[[#This Row],[C/$]],$M$127,$M$128,TRUE)</f>
        <v>0.54227409269054927</v>
      </c>
      <c r="V93" s="11">
        <f>Database[[#This Row],[C/Lb N]]*$F$14+Database[[#This Row],[C/$ N]]*$F$16+Database[[#This Row],[Pack N]]*$F$15</f>
        <v>4.5605318059762174</v>
      </c>
      <c r="W93" s="32">
        <v>0.12</v>
      </c>
      <c r="X93" s="32">
        <v>0</v>
      </c>
      <c r="Y93" s="32">
        <v>0.09</v>
      </c>
      <c r="Z93" s="32">
        <v>0.08</v>
      </c>
      <c r="AA93" s="32">
        <v>0</v>
      </c>
      <c r="AB93" s="32">
        <v>0</v>
      </c>
      <c r="AC93" s="32">
        <v>0</v>
      </c>
      <c r="AD93" s="32">
        <v>0.12</v>
      </c>
      <c r="AE93" s="32">
        <v>0</v>
      </c>
      <c r="AF93" s="32">
        <v>0</v>
      </c>
      <c r="AG93" s="32">
        <v>0.02</v>
      </c>
      <c r="AH93" s="32">
        <v>0.15</v>
      </c>
      <c r="AI93" s="32">
        <v>0</v>
      </c>
      <c r="AJ93" s="32">
        <v>0</v>
      </c>
    </row>
    <row r="94" spans="2:36" x14ac:dyDescent="0.2">
      <c r="B94" t="s">
        <v>181</v>
      </c>
      <c r="C94" t="s">
        <v>182</v>
      </c>
      <c r="D94" t="s">
        <v>79</v>
      </c>
      <c r="E94" s="20">
        <f>((Database[[#This Row],[Raw Score]]-MIN(Database[Raw Score]))/(MAX(Database[Raw Score])-MIN(Database[Raw Score])))*10</f>
        <v>3.4641422767972117</v>
      </c>
      <c r="F94" s="34">
        <v>4.99</v>
      </c>
      <c r="G94" s="27" t="s">
        <v>17</v>
      </c>
      <c r="H94" s="30" t="s">
        <v>19</v>
      </c>
      <c r="I94" s="40">
        <v>130</v>
      </c>
      <c r="J94" s="37">
        <v>40</v>
      </c>
      <c r="K94" s="38">
        <v>340</v>
      </c>
      <c r="L94" s="9">
        <f>IF(Database[[#This Row],[g]],Database[[#This Row],[C]]/Database[[#This Row],[Lb]],0)</f>
        <v>1474.1752025000001</v>
      </c>
      <c r="M94" s="9">
        <f>IF(Database[[#This Row],[$]], Database[[#This Row],[C]]/Database[[#This Row],[$]],0)</f>
        <v>221.44288577154308</v>
      </c>
      <c r="N94" s="25">
        <f>IF(OR(ISBLANK(Database[[#This Row],[Air]]),ISBLANK(Database[[#This Row],[Flex]])),0,VLOOKUP(Database[[#This Row],[Flex]],FlexScore[],2,FALSE)+VLOOKUP(Database[[#This Row],[Air]],AirScore[],2,FALSE))</f>
        <v>8</v>
      </c>
      <c r="O94" s="25">
        <f>Database[[#This Row],[g]]/Database[[#This Row],[g/S]]</f>
        <v>8.5</v>
      </c>
      <c r="P94" s="42">
        <f>IF(Database[[#This Row],[g]],Database[[#This Row],[g]]/453.59237,0)</f>
        <v>0.74957169142858371</v>
      </c>
      <c r="Q94" s="10">
        <f>Database[[#This Row],[Lb]]*16</f>
        <v>11.993147062857339</v>
      </c>
      <c r="R94" s="9">
        <f>IF(Database[[#This Row],[g]],(Database[[#This Row],[C/S]]/Database[[#This Row],[g/S]])*Database[[#This Row],[g]],0)</f>
        <v>1105</v>
      </c>
      <c r="S94" s="11">
        <f>_xlfn.NORM.DIST(Database[[#This Row],[C/Lb]],$L$127,$L$128,TRUE)</f>
        <v>0.24749090774798294</v>
      </c>
      <c r="T94" s="12">
        <f>_xlfn.NORM.DIST(Database[[#This Row],[Pack]],$N$127,$N$128,TRUE)</f>
        <v>0.95212895676000608</v>
      </c>
      <c r="U94" s="11">
        <f>_xlfn.NORM.DIST(Database[[#This Row],[C/$]],$M$127,$M$128,TRUE)</f>
        <v>0.3638530454070642</v>
      </c>
      <c r="V94" s="11">
        <f>Database[[#This Row],[C/Lb N]]*$F$14+Database[[#This Row],[C/$ N]]*$F$16+Database[[#This Row],[Pack N]]*$F$15</f>
        <v>4.4807624962291026</v>
      </c>
      <c r="W94" s="32">
        <v>0</v>
      </c>
      <c r="X94" s="32">
        <v>0</v>
      </c>
      <c r="Y94" s="32">
        <v>0</v>
      </c>
      <c r="Z94" s="32">
        <v>0</v>
      </c>
      <c r="AA94" s="32">
        <v>0.12</v>
      </c>
      <c r="AB94" s="32">
        <v>0.09</v>
      </c>
      <c r="AC94" s="32">
        <v>0.52</v>
      </c>
      <c r="AD94" s="32">
        <v>0</v>
      </c>
      <c r="AE94" s="32">
        <v>0</v>
      </c>
      <c r="AF94" s="32">
        <v>0</v>
      </c>
      <c r="AG94" s="32">
        <v>0</v>
      </c>
      <c r="AH94" s="32">
        <v>0</v>
      </c>
      <c r="AI94" s="32">
        <v>0</v>
      </c>
      <c r="AJ94" s="32">
        <v>0</v>
      </c>
    </row>
    <row r="95" spans="2:36" x14ac:dyDescent="0.2">
      <c r="B95" t="s">
        <v>183</v>
      </c>
      <c r="C95" t="s">
        <v>173</v>
      </c>
      <c r="D95" t="s">
        <v>83</v>
      </c>
      <c r="E95" s="20">
        <f>((Database[[#This Row],[Raw Score]]-MIN(Database[Raw Score]))/(MAX(Database[Raw Score])-MIN(Database[Raw Score])))*10</f>
        <v>3.3920046656933867</v>
      </c>
      <c r="F95" s="34">
        <v>3.59</v>
      </c>
      <c r="G95" s="27" t="s">
        <v>17</v>
      </c>
      <c r="H95" s="30" t="s">
        <v>25</v>
      </c>
      <c r="I95" s="40">
        <v>140</v>
      </c>
      <c r="J95" s="37">
        <f>Database[[#This Row],[g]]/10</f>
        <v>49.6</v>
      </c>
      <c r="K95" s="38">
        <v>496</v>
      </c>
      <c r="L95" s="9">
        <f>IF(Database[[#This Row],[g]],Database[[#This Row],[C]]/Database[[#This Row],[Lb]],0)</f>
        <v>1280.3010443548387</v>
      </c>
      <c r="M95" s="9">
        <f>IF(Database[[#This Row],[$]], Database[[#This Row],[C]]/Database[[#This Row],[$]],0)</f>
        <v>389.9721448467966</v>
      </c>
      <c r="N95" s="25">
        <f>IF(OR(ISBLANK(Database[[#This Row],[Air]]),ISBLANK(Database[[#This Row],[Flex]])),0,VLOOKUP(Database[[#This Row],[Flex]],FlexScore[],2,FALSE)+VLOOKUP(Database[[#This Row],[Air]],AirScore[],2,FALSE))</f>
        <v>6.5</v>
      </c>
      <c r="O95" s="25">
        <f>Database[[#This Row],[g]]/Database[[#This Row],[g/S]]</f>
        <v>10</v>
      </c>
      <c r="P95" s="42">
        <f>IF(Database[[#This Row],[g]],Database[[#This Row],[g]]/453.59237,0)</f>
        <v>1.0934928204369927</v>
      </c>
      <c r="Q95" s="10">
        <f>Database[[#This Row],[Lb]]*16</f>
        <v>17.495885126991883</v>
      </c>
      <c r="R95" s="9">
        <f>IF(Database[[#This Row],[g]],(Database[[#This Row],[C/S]]/Database[[#This Row],[g/S]])*Database[[#This Row],[g]],0)</f>
        <v>1399.9999999999998</v>
      </c>
      <c r="S95" s="11">
        <f>_xlfn.NORM.DIST(Database[[#This Row],[C/Lb]],$L$127,$L$128,TRUE)</f>
        <v>0.16724010850000215</v>
      </c>
      <c r="T95" s="12">
        <f>_xlfn.NORM.DIST(Database[[#This Row],[Pack]],$N$127,$N$128,TRUE)</f>
        <v>0.7916042392722078</v>
      </c>
      <c r="U95" s="11">
        <f>_xlfn.NORM.DIST(Database[[#This Row],[C/$]],$M$127,$M$128,TRUE)</f>
        <v>0.61478515530054856</v>
      </c>
      <c r="V95" s="11">
        <f>Database[[#This Row],[C/Lb N]]*$F$14+Database[[#This Row],[C/$ N]]*$F$16+Database[[#This Row],[Pack N]]*$F$15</f>
        <v>4.4310045954460744</v>
      </c>
      <c r="W95" s="32">
        <v>0.04</v>
      </c>
      <c r="X95" s="32">
        <v>0.05</v>
      </c>
      <c r="Y95" s="32">
        <v>0</v>
      </c>
      <c r="Z95" s="32">
        <v>0.18</v>
      </c>
      <c r="AA95" s="32">
        <v>0.09</v>
      </c>
      <c r="AB95" s="32">
        <v>0.04</v>
      </c>
      <c r="AC95" s="32">
        <v>0.02</v>
      </c>
      <c r="AD95" s="32">
        <v>0.08</v>
      </c>
      <c r="AE95" s="32">
        <v>0</v>
      </c>
      <c r="AF95" s="32">
        <v>0</v>
      </c>
      <c r="AG95" s="32">
        <v>0</v>
      </c>
      <c r="AH95" s="32">
        <v>0.06</v>
      </c>
      <c r="AI95" s="32">
        <v>0.1</v>
      </c>
      <c r="AJ95" s="32">
        <v>0.02</v>
      </c>
    </row>
    <row r="96" spans="2:36" x14ac:dyDescent="0.2">
      <c r="B96" t="s">
        <v>184</v>
      </c>
      <c r="C96" t="s">
        <v>185</v>
      </c>
      <c r="D96" t="s">
        <v>89</v>
      </c>
      <c r="E96" s="20">
        <f>((Database[[#This Row],[Raw Score]]-MIN(Database[Raw Score]))/(MAX(Database[Raw Score])-MIN(Database[Raw Score])))*10</f>
        <v>3.253783238239591</v>
      </c>
      <c r="F96" s="34">
        <v>3.79</v>
      </c>
      <c r="G96" s="27" t="s">
        <v>23</v>
      </c>
      <c r="H96" s="30" t="s">
        <v>26</v>
      </c>
      <c r="I96" s="40">
        <v>240</v>
      </c>
      <c r="J96" s="37">
        <f>Database[[#This Row],[g]]/6</f>
        <v>61</v>
      </c>
      <c r="K96" s="38">
        <v>366</v>
      </c>
      <c r="L96" s="9">
        <f>IF(Database[[#This Row],[g]],Database[[#This Row],[C]]/Database[[#This Row],[Lb]],0)</f>
        <v>1784.6257180327871</v>
      </c>
      <c r="M96" s="9">
        <f>IF(Database[[#This Row],[$]], Database[[#This Row],[C]]/Database[[#This Row],[$]],0)</f>
        <v>379.94722955145119</v>
      </c>
      <c r="N96" s="25">
        <f>IF(OR(ISBLANK(Database[[#This Row],[Air]]),ISBLANK(Database[[#This Row],[Flex]])),0,VLOOKUP(Database[[#This Row],[Flex]],FlexScore[],2,FALSE)+VLOOKUP(Database[[#This Row],[Air]],AirScore[],2,FALSE))</f>
        <v>2</v>
      </c>
      <c r="O96" s="25">
        <f>Database[[#This Row],[g]]/Database[[#This Row],[g/S]]</f>
        <v>6</v>
      </c>
      <c r="P96" s="42">
        <f>IF(Database[[#This Row],[g]],Database[[#This Row],[g]]/453.59237,0)</f>
        <v>0.80689187959665187</v>
      </c>
      <c r="Q96" s="10">
        <f>Database[[#This Row],[Lb]]*16</f>
        <v>12.91027007354643</v>
      </c>
      <c r="R96" s="9">
        <f>IF(Database[[#This Row],[g]],(Database[[#This Row],[C/S]]/Database[[#This Row],[g/S]])*Database[[#This Row],[g]],0)</f>
        <v>1440</v>
      </c>
      <c r="S96" s="11">
        <f>_xlfn.NORM.DIST(Database[[#This Row],[C/Lb]],$L$127,$L$128,TRUE)</f>
        <v>0.40916874262567954</v>
      </c>
      <c r="T96" s="12">
        <f>_xlfn.NORM.DIST(Database[[#This Row],[Pack]],$N$127,$N$128,TRUE)</f>
        <v>4.0096492533184723E-2</v>
      </c>
      <c r="U96" s="11">
        <f>_xlfn.NORM.DIST(Database[[#This Row],[C/$]],$M$127,$M$128,TRUE)</f>
        <v>0.60015301350949279</v>
      </c>
      <c r="V96" s="11">
        <f>Database[[#This Row],[C/Lb N]]*$F$14+Database[[#This Row],[C/$ N]]*$F$16+Database[[#This Row],[Pack N]]*$F$15</f>
        <v>4.3356644813489247</v>
      </c>
      <c r="W96" s="32">
        <v>0.05</v>
      </c>
      <c r="X96" s="32">
        <v>0.12</v>
      </c>
      <c r="Y96" s="32">
        <v>0.02</v>
      </c>
      <c r="Z96" s="32">
        <v>0.23</v>
      </c>
      <c r="AA96" s="32">
        <v>0.15</v>
      </c>
      <c r="AB96" s="32">
        <v>0.04</v>
      </c>
      <c r="AC96" s="32">
        <v>0</v>
      </c>
      <c r="AD96" s="32">
        <v>0.16</v>
      </c>
      <c r="AE96" s="32">
        <v>0</v>
      </c>
      <c r="AF96" s="32">
        <v>0</v>
      </c>
      <c r="AG96" s="32">
        <v>0</v>
      </c>
      <c r="AH96" s="32">
        <v>0.15</v>
      </c>
      <c r="AI96" s="32">
        <v>0.1</v>
      </c>
      <c r="AJ96" s="32">
        <v>0.06</v>
      </c>
    </row>
    <row r="97" spans="2:36" x14ac:dyDescent="0.2">
      <c r="B97" t="s">
        <v>158</v>
      </c>
      <c r="C97" t="s">
        <v>186</v>
      </c>
      <c r="D97" t="s">
        <v>89</v>
      </c>
      <c r="E97" s="20">
        <f>((Database[[#This Row],[Raw Score]]-MIN(Database[Raw Score]))/(MAX(Database[Raw Score])-MIN(Database[Raw Score])))*10</f>
        <v>3.1938577439263032</v>
      </c>
      <c r="F97" s="34">
        <v>6.39</v>
      </c>
      <c r="G97" s="27" t="s">
        <v>20</v>
      </c>
      <c r="H97" s="30" t="s">
        <v>26</v>
      </c>
      <c r="I97" s="40">
        <v>200</v>
      </c>
      <c r="J97" s="37">
        <v>56</v>
      </c>
      <c r="K97" s="38">
        <v>695</v>
      </c>
      <c r="L97" s="9">
        <f>IF(Database[[#This Row],[g]],Database[[#This Row],[C]]/Database[[#This Row],[Lb]],0)</f>
        <v>1619.9727500000001</v>
      </c>
      <c r="M97" s="9">
        <f>IF(Database[[#This Row],[$]], Database[[#This Row],[C]]/Database[[#This Row],[$]],0)</f>
        <v>388.44176168119833</v>
      </c>
      <c r="N97" s="25">
        <f>IF(OR(ISBLANK(Database[[#This Row],[Air]]),ISBLANK(Database[[#This Row],[Flex]])),0,VLOOKUP(Database[[#This Row],[Flex]],FlexScore[],2,FALSE)+VLOOKUP(Database[[#This Row],[Air]],AirScore[],2,FALSE))</f>
        <v>4</v>
      </c>
      <c r="O97" s="25">
        <f>Database[[#This Row],[g]]/Database[[#This Row],[g/S]]</f>
        <v>12.410714285714286</v>
      </c>
      <c r="P97" s="42">
        <f>IF(Database[[#This Row],[g]],Database[[#This Row],[g]]/453.59237,0)</f>
        <v>1.5322127221848991</v>
      </c>
      <c r="Q97" s="10">
        <f>Database[[#This Row],[Lb]]*16</f>
        <v>24.515403554958386</v>
      </c>
      <c r="R97" s="9">
        <f>IF(Database[[#This Row],[g]],(Database[[#This Row],[C/S]]/Database[[#This Row],[g/S]])*Database[[#This Row],[g]],0)</f>
        <v>2482.1428571428573</v>
      </c>
      <c r="S97" s="11">
        <f>_xlfn.NORM.DIST(Database[[#This Row],[C/Lb]],$L$127,$L$128,TRUE)</f>
        <v>0.31925129079911246</v>
      </c>
      <c r="T97" s="12">
        <f>_xlfn.NORM.DIST(Database[[#This Row],[Pack]],$N$127,$N$128,TRUE)</f>
        <v>0.2705690307561387</v>
      </c>
      <c r="U97" s="11">
        <f>_xlfn.NORM.DIST(Database[[#This Row],[C/$]],$M$127,$M$128,TRUE)</f>
        <v>0.61256141610507142</v>
      </c>
      <c r="V97" s="11">
        <f>Database[[#This Row],[C/Lb N]]*$F$14+Database[[#This Row],[C/$ N]]*$F$16+Database[[#This Row],[Pack N]]*$F$15</f>
        <v>4.2943300546221659</v>
      </c>
      <c r="W97" s="32">
        <v>0.01</v>
      </c>
      <c r="X97" s="32">
        <v>0</v>
      </c>
      <c r="Y97" s="32">
        <v>0</v>
      </c>
      <c r="Z97" s="32">
        <v>0</v>
      </c>
      <c r="AA97" s="32">
        <v>0.15</v>
      </c>
      <c r="AB97" s="32">
        <v>0.14000000000000001</v>
      </c>
      <c r="AC97" s="32">
        <v>0</v>
      </c>
      <c r="AD97" s="32">
        <v>0.14000000000000001</v>
      </c>
      <c r="AE97" s="32">
        <v>0</v>
      </c>
      <c r="AF97" s="32">
        <v>0</v>
      </c>
      <c r="AG97" s="32">
        <v>0</v>
      </c>
      <c r="AH97" s="32">
        <v>0</v>
      </c>
      <c r="AI97" s="32">
        <v>0.06</v>
      </c>
      <c r="AJ97" s="32">
        <v>0.02</v>
      </c>
    </row>
    <row r="98" spans="2:36" x14ac:dyDescent="0.2">
      <c r="B98" t="s">
        <v>187</v>
      </c>
      <c r="C98" t="s">
        <v>188</v>
      </c>
      <c r="D98" t="s">
        <v>242</v>
      </c>
      <c r="E98" s="20">
        <f>((Database[[#This Row],[Raw Score]]-MIN(Database[Raw Score]))/(MAX(Database[Raw Score])-MIN(Database[Raw Score])))*10</f>
        <v>3.1842572711060253</v>
      </c>
      <c r="F98" s="21">
        <v>1.5</v>
      </c>
      <c r="G98" s="27" t="s">
        <v>17</v>
      </c>
      <c r="H98" s="27" t="s">
        <v>27</v>
      </c>
      <c r="I98" s="22">
        <v>300</v>
      </c>
      <c r="J98" s="37">
        <v>78</v>
      </c>
      <c r="K98" s="38">
        <v>78</v>
      </c>
      <c r="L98" s="9">
        <f>IF(Database[[#This Row],[g]],Database[[#This Row],[C]]/Database[[#This Row],[Lb]],0)</f>
        <v>1744.5860384615387</v>
      </c>
      <c r="M98" s="9">
        <f>IF(Database[[#This Row],[$]], Database[[#This Row],[C]]/Database[[#This Row],[$]],0)</f>
        <v>200</v>
      </c>
      <c r="N98" s="25">
        <f>IF(OR(ISBLANK(Database[[#This Row],[Air]]),ISBLANK(Database[[#This Row],[Flex]])),0,VLOOKUP(Database[[#This Row],[Flex]],FlexScore[],2,FALSE)+VLOOKUP(Database[[#This Row],[Air]],AirScore[],2,FALSE))</f>
        <v>5</v>
      </c>
      <c r="O98" s="25">
        <f>Database[[#This Row],[g]]/Database[[#This Row],[g/S]]</f>
        <v>1</v>
      </c>
      <c r="P98" s="42">
        <f>IF(Database[[#This Row],[g]],Database[[#This Row],[g]]/453.59237,0)</f>
        <v>0.17196056450420449</v>
      </c>
      <c r="Q98" s="10">
        <f>Database[[#This Row],[Lb]]*16</f>
        <v>2.7513690320672719</v>
      </c>
      <c r="R98" s="9">
        <f>IF(Database[[#This Row],[g]],(Database[[#This Row],[C/S]]/Database[[#This Row],[g/S]])*Database[[#This Row],[g]],0)</f>
        <v>300</v>
      </c>
      <c r="S98" s="11">
        <f>_xlfn.NORM.DIST(Database[[#This Row],[C/Lb]],$L$127,$L$128,TRUE)</f>
        <v>0.38664552543168951</v>
      </c>
      <c r="T98" s="12">
        <f>_xlfn.NORM.DIST(Database[[#This Row],[Pack]],$N$127,$N$128,TRUE)</f>
        <v>0.48330687382898091</v>
      </c>
      <c r="U98" s="11">
        <f>_xlfn.NORM.DIST(Database[[#This Row],[C/$]],$M$127,$M$128,TRUE)</f>
        <v>0.3337403657844788</v>
      </c>
      <c r="V98" s="11">
        <f>Database[[#This Row],[C/Lb N]]*$F$14+Database[[#This Row],[C/$ N]]*$F$16+Database[[#This Row],[Pack N]]*$F$15</f>
        <v>4.2877079976015358</v>
      </c>
      <c r="W98" s="32">
        <v>0.14000000000000001</v>
      </c>
      <c r="X98" s="32">
        <v>0.3</v>
      </c>
      <c r="Y98" s="32">
        <v>0</v>
      </c>
      <c r="Z98" s="32">
        <v>0.14000000000000001</v>
      </c>
      <c r="AA98" s="32">
        <v>0.16</v>
      </c>
      <c r="AB98" s="32">
        <v>0.04</v>
      </c>
      <c r="AC98" s="32">
        <v>0.4</v>
      </c>
      <c r="AD98" s="32">
        <v>0.08</v>
      </c>
      <c r="AE98" s="32">
        <v>0</v>
      </c>
      <c r="AF98" s="32">
        <v>0</v>
      </c>
      <c r="AG98" s="32">
        <v>0</v>
      </c>
      <c r="AH98" s="32">
        <v>0.08</v>
      </c>
      <c r="AI98" s="32">
        <v>0.08</v>
      </c>
      <c r="AJ98" s="32">
        <v>0</v>
      </c>
    </row>
    <row r="99" spans="2:36" x14ac:dyDescent="0.2">
      <c r="B99" t="s">
        <v>127</v>
      </c>
      <c r="C99" t="s">
        <v>189</v>
      </c>
      <c r="D99" t="s">
        <v>86</v>
      </c>
      <c r="E99" s="20">
        <f>((Database[[#This Row],[Raw Score]]-MIN(Database[Raw Score]))/(MAX(Database[Raw Score])-MIN(Database[Raw Score])))*10</f>
        <v>3.1767234946261071</v>
      </c>
      <c r="F99" s="21">
        <v>3.99</v>
      </c>
      <c r="G99" s="27" t="s">
        <v>17</v>
      </c>
      <c r="H99" s="27" t="s">
        <v>27</v>
      </c>
      <c r="I99" s="22">
        <v>220</v>
      </c>
      <c r="J99" s="37">
        <v>56</v>
      </c>
      <c r="K99" s="38">
        <v>170</v>
      </c>
      <c r="L99" s="9">
        <f>IF(Database[[#This Row],[g]],Database[[#This Row],[C]]/Database[[#This Row],[Lb]],0)</f>
        <v>1781.9700249999999</v>
      </c>
      <c r="M99" s="9">
        <f>IF(Database[[#This Row],[$]], Database[[#This Row],[C]]/Database[[#This Row],[$]],0)</f>
        <v>167.38274257071248</v>
      </c>
      <c r="N99" s="25">
        <f>IF(OR(ISBLANK(Database[[#This Row],[Air]]),ISBLANK(Database[[#This Row],[Flex]])),0,VLOOKUP(Database[[#This Row],[Flex]],FlexScore[],2,FALSE)+VLOOKUP(Database[[#This Row],[Air]],AirScore[],2,FALSE))</f>
        <v>5</v>
      </c>
      <c r="O99" s="25">
        <f>Database[[#This Row],[g]]/Database[[#This Row],[g/S]]</f>
        <v>3.0357142857142856</v>
      </c>
      <c r="P99" s="42">
        <f>IF(Database[[#This Row],[g]],Database[[#This Row],[g]]/453.59237,0)</f>
        <v>0.37478584571429185</v>
      </c>
      <c r="Q99" s="10">
        <f>Database[[#This Row],[Lb]]*16</f>
        <v>5.9965735314286697</v>
      </c>
      <c r="R99" s="9">
        <f>IF(Database[[#This Row],[g]],(Database[[#This Row],[C/S]]/Database[[#This Row],[g/S]])*Database[[#This Row],[g]],0)</f>
        <v>667.85714285714278</v>
      </c>
      <c r="S99" s="11">
        <f>_xlfn.NORM.DIST(Database[[#This Row],[C/Lb]],$L$127,$L$128,TRUE)</f>
        <v>0.40766463720770207</v>
      </c>
      <c r="T99" s="12">
        <f>_xlfn.NORM.DIST(Database[[#This Row],[Pack]],$N$127,$N$128,TRUE)</f>
        <v>0.48330687382898091</v>
      </c>
      <c r="U99" s="11">
        <f>_xlfn.NORM.DIST(Database[[#This Row],[C/$]],$M$127,$M$128,TRUE)</f>
        <v>0.28996996721827756</v>
      </c>
      <c r="V99" s="11">
        <f>Database[[#This Row],[C/Lb N]]*$F$14+Database[[#This Row],[C/$ N]]*$F$16+Database[[#This Row],[Pack N]]*$F$15</f>
        <v>4.2825114725590065</v>
      </c>
      <c r="W99" s="32">
        <v>0.11</v>
      </c>
      <c r="X99" s="32">
        <v>0.13</v>
      </c>
      <c r="Y99" s="32">
        <v>0.08</v>
      </c>
      <c r="Z99" s="32">
        <v>0.15</v>
      </c>
      <c r="AA99" s="32">
        <v>0</v>
      </c>
      <c r="AB99" s="32">
        <v>0</v>
      </c>
      <c r="AC99" s="32">
        <v>0</v>
      </c>
      <c r="AD99" s="32">
        <v>0.16</v>
      </c>
      <c r="AE99" s="32">
        <v>0</v>
      </c>
      <c r="AF99" s="32">
        <v>0</v>
      </c>
      <c r="AG99" s="32">
        <v>0</v>
      </c>
      <c r="AH99" s="32">
        <v>0</v>
      </c>
      <c r="AI99" s="32">
        <v>0.02</v>
      </c>
      <c r="AJ99" s="32">
        <v>0</v>
      </c>
    </row>
    <row r="100" spans="2:36" x14ac:dyDescent="0.2">
      <c r="B100" t="s">
        <v>190</v>
      </c>
      <c r="C100" t="s">
        <v>245</v>
      </c>
      <c r="D100" t="s">
        <v>77</v>
      </c>
      <c r="E100" s="20">
        <f>((Database[[#This Row],[Raw Score]]-MIN(Database[Raw Score]))/(MAX(Database[Raw Score])-MIN(Database[Raw Score])))*10</f>
        <v>2.9257019129713191</v>
      </c>
      <c r="F100" s="34">
        <v>12.95</v>
      </c>
      <c r="G100" s="27" t="s">
        <v>20</v>
      </c>
      <c r="H100" s="30" t="s">
        <v>24</v>
      </c>
      <c r="I100" s="40">
        <v>410</v>
      </c>
      <c r="J100" s="37">
        <v>95</v>
      </c>
      <c r="K100" s="38">
        <v>190</v>
      </c>
      <c r="L100" s="9">
        <f>IF(Database[[#This Row],[g]],Database[[#This Row],[C]]/Database[[#This Row],[Lb]],0)</f>
        <v>1957.6091757894737</v>
      </c>
      <c r="M100" s="9">
        <f>IF(Database[[#This Row],[$]], Database[[#This Row],[C]]/Database[[#This Row],[$]],0)</f>
        <v>63.320463320463325</v>
      </c>
      <c r="N100" s="25">
        <f>IF(OR(ISBLANK(Database[[#This Row],[Air]]),ISBLANK(Database[[#This Row],[Flex]])),0,VLOOKUP(Database[[#This Row],[Flex]],FlexScore[],2,FALSE)+VLOOKUP(Database[[#This Row],[Air]],AirScore[],2,FALSE))</f>
        <v>4</v>
      </c>
      <c r="O100" s="25">
        <f>Database[[#This Row],[g]]/Database[[#This Row],[g/S]]</f>
        <v>2</v>
      </c>
      <c r="P100" s="42">
        <f>IF(Database[[#This Row],[g]],Database[[#This Row],[g]]/453.59237,0)</f>
        <v>0.41887829815126737</v>
      </c>
      <c r="Q100" s="10">
        <f>Database[[#This Row],[Lb]]*16</f>
        <v>6.7020527704202779</v>
      </c>
      <c r="R100" s="9">
        <f>IF(Database[[#This Row],[g]],(Database[[#This Row],[C/S]]/Database[[#This Row],[g/S]])*Database[[#This Row],[g]],0)</f>
        <v>820</v>
      </c>
      <c r="S100" s="11">
        <f>_xlfn.NORM.DIST(Database[[#This Row],[C/Lb]],$L$127,$L$128,TRUE)</f>
        <v>0.50900497187877058</v>
      </c>
      <c r="T100" s="12">
        <f>_xlfn.NORM.DIST(Database[[#This Row],[Pack]],$N$127,$N$128,TRUE)</f>
        <v>0.2705690307561387</v>
      </c>
      <c r="U100" s="11">
        <f>_xlfn.NORM.DIST(Database[[#This Row],[C/$]],$M$127,$M$128,TRUE)</f>
        <v>0.17139934046651947</v>
      </c>
      <c r="V100" s="11">
        <f>Database[[#This Row],[C/Lb N]]*$F$14+Database[[#This Row],[C/$ N]]*$F$16+Database[[#This Row],[Pack N]]*$F$15</f>
        <v>4.1093659141844592</v>
      </c>
      <c r="W100" s="32">
        <v>0.22</v>
      </c>
      <c r="X100" s="32">
        <v>0.16</v>
      </c>
      <c r="Y100" s="32">
        <v>0.09</v>
      </c>
      <c r="Z100" s="32">
        <v>0.13</v>
      </c>
      <c r="AA100" s="32">
        <v>0.18</v>
      </c>
      <c r="AB100" s="32">
        <v>0.18</v>
      </c>
      <c r="AC100" s="32">
        <v>0.08</v>
      </c>
      <c r="AD100" s="32">
        <v>0.42</v>
      </c>
      <c r="AE100" s="32">
        <v>0</v>
      </c>
      <c r="AF100" s="32">
        <v>0</v>
      </c>
      <c r="AG100" s="32">
        <v>0</v>
      </c>
      <c r="AH100" s="32">
        <v>0.04</v>
      </c>
      <c r="AI100" s="32">
        <v>0.15</v>
      </c>
      <c r="AJ100" s="32">
        <v>0.15</v>
      </c>
    </row>
    <row r="101" spans="2:36" x14ac:dyDescent="0.2">
      <c r="B101" t="s">
        <v>191</v>
      </c>
      <c r="C101" t="s">
        <v>246</v>
      </c>
      <c r="D101" t="s">
        <v>77</v>
      </c>
      <c r="E101" s="20">
        <f>((Database[[#This Row],[Raw Score]]-MIN(Database[Raw Score]))/(MAX(Database[Raw Score])-MIN(Database[Raw Score])))*10</f>
        <v>2.8827554085892846</v>
      </c>
      <c r="F101" s="34">
        <v>15.5</v>
      </c>
      <c r="G101" s="27" t="s">
        <v>20</v>
      </c>
      <c r="H101" s="30" t="s">
        <v>24</v>
      </c>
      <c r="I101" s="40">
        <v>410</v>
      </c>
      <c r="J101" s="37">
        <v>95</v>
      </c>
      <c r="K101" s="38">
        <v>190</v>
      </c>
      <c r="L101" s="9">
        <f>IF(Database[[#This Row],[g]],Database[[#This Row],[C]]/Database[[#This Row],[Lb]],0)</f>
        <v>1957.6091757894737</v>
      </c>
      <c r="M101" s="9">
        <f>IF(Database[[#This Row],[$]], Database[[#This Row],[C]]/Database[[#This Row],[$]],0)</f>
        <v>52.903225806451616</v>
      </c>
      <c r="N101" s="25">
        <f>IF(OR(ISBLANK(Database[[#This Row],[Air]]),ISBLANK(Database[[#This Row],[Flex]])),0,VLOOKUP(Database[[#This Row],[Flex]],FlexScore[],2,FALSE)+VLOOKUP(Database[[#This Row],[Air]],AirScore[],2,FALSE))</f>
        <v>4</v>
      </c>
      <c r="O101" s="25">
        <f>Database[[#This Row],[g]]/Database[[#This Row],[g/S]]</f>
        <v>2</v>
      </c>
      <c r="P101" s="42">
        <f>IF(Database[[#This Row],[g]],Database[[#This Row],[g]]/453.59237,0)</f>
        <v>0.41887829815126737</v>
      </c>
      <c r="Q101" s="10">
        <f>Database[[#This Row],[Lb]]*16</f>
        <v>6.7020527704202779</v>
      </c>
      <c r="R101" s="9">
        <f>IF(Database[[#This Row],[g]],(Database[[#This Row],[C/S]]/Database[[#This Row],[g/S]])*Database[[#This Row],[g]],0)</f>
        <v>820</v>
      </c>
      <c r="S101" s="11">
        <f>_xlfn.NORM.DIST(Database[[#This Row],[C/Lb]],$L$127,$L$128,TRUE)</f>
        <v>0.50900497187877058</v>
      </c>
      <c r="T101" s="12">
        <f>_xlfn.NORM.DIST(Database[[#This Row],[Pack]],$N$127,$N$128,TRUE)</f>
        <v>0.2705690307561387</v>
      </c>
      <c r="U101" s="11">
        <f>_xlfn.NORM.DIST(Database[[#This Row],[C/$]],$M$127,$M$128,TRUE)</f>
        <v>0.16152502815647457</v>
      </c>
      <c r="V101" s="11">
        <f>Database[[#This Row],[C/Lb N]]*$F$14+Database[[#This Row],[C/$ N]]*$F$16+Database[[#This Row],[Pack N]]*$F$15</f>
        <v>4.079742977254325</v>
      </c>
      <c r="W101" s="32">
        <v>0.13</v>
      </c>
      <c r="X101" s="32">
        <v>0.08</v>
      </c>
      <c r="Y101" s="32">
        <v>0</v>
      </c>
      <c r="Z101" s="32">
        <v>0.18</v>
      </c>
      <c r="AA101" s="32">
        <v>0.23</v>
      </c>
      <c r="AB101" s="32">
        <v>0.14000000000000001</v>
      </c>
      <c r="AC101" s="32">
        <v>0</v>
      </c>
      <c r="AD101" s="32">
        <v>0.26</v>
      </c>
      <c r="AE101" s="32">
        <v>0</v>
      </c>
      <c r="AF101" s="32">
        <v>0</v>
      </c>
      <c r="AG101" s="32">
        <v>0</v>
      </c>
      <c r="AH101" s="32">
        <v>0.04</v>
      </c>
      <c r="AI101" s="32">
        <v>0.06</v>
      </c>
      <c r="AJ101" s="32">
        <v>0.15</v>
      </c>
    </row>
    <row r="102" spans="2:36" x14ac:dyDescent="0.2">
      <c r="B102" t="s">
        <v>192</v>
      </c>
      <c r="C102" t="s">
        <v>193</v>
      </c>
      <c r="D102" t="s">
        <v>89</v>
      </c>
      <c r="E102" s="20">
        <f>((Database[[#This Row],[Raw Score]]-MIN(Database[Raw Score]))/(MAX(Database[Raw Score])-MIN(Database[Raw Score])))*10</f>
        <v>2.8165468527716686</v>
      </c>
      <c r="F102" s="21">
        <v>1.58</v>
      </c>
      <c r="G102" s="27" t="s">
        <v>23</v>
      </c>
      <c r="H102" s="27" t="s">
        <v>24</v>
      </c>
      <c r="I102" s="22">
        <v>240</v>
      </c>
      <c r="J102" s="37">
        <v>64</v>
      </c>
      <c r="K102" s="38">
        <v>158</v>
      </c>
      <c r="L102" s="9">
        <f>IF(Database[[#This Row],[g]],Database[[#This Row],[C]]/Database[[#This Row],[Lb]],0)</f>
        <v>1700.9713875</v>
      </c>
      <c r="M102" s="9">
        <f>IF(Database[[#This Row],[$]], Database[[#This Row],[C]]/Database[[#This Row],[$]],0)</f>
        <v>375</v>
      </c>
      <c r="N102" s="25">
        <f>IF(OR(ISBLANK(Database[[#This Row],[Air]]),ISBLANK(Database[[#This Row],[Flex]])),0,VLOOKUP(Database[[#This Row],[Flex]],FlexScore[],2,FALSE)+VLOOKUP(Database[[#This Row],[Air]],AirScore[],2,FALSE))</f>
        <v>2</v>
      </c>
      <c r="O102" s="25">
        <f>Database[[#This Row],[g]]/Database[[#This Row],[g/S]]</f>
        <v>2.46875</v>
      </c>
      <c r="P102" s="42">
        <f>IF(Database[[#This Row],[g]],Database[[#This Row],[g]]/453.59237,0)</f>
        <v>0.34833037425210656</v>
      </c>
      <c r="Q102" s="10">
        <f>Database[[#This Row],[Lb]]*16</f>
        <v>5.5732859880337049</v>
      </c>
      <c r="R102" s="9">
        <f>IF(Database[[#This Row],[g]],(Database[[#This Row],[C/S]]/Database[[#This Row],[g/S]])*Database[[#This Row],[g]],0)</f>
        <v>592.5</v>
      </c>
      <c r="S102" s="11">
        <f>_xlfn.NORM.DIST(Database[[#This Row],[C/Lb]],$L$127,$L$128,TRUE)</f>
        <v>0.36254100513372556</v>
      </c>
      <c r="T102" s="12">
        <f>_xlfn.NORM.DIST(Database[[#This Row],[Pack]],$N$127,$N$128,TRUE)</f>
        <v>4.0096492533184723E-2</v>
      </c>
      <c r="U102" s="11">
        <f>_xlfn.NORM.DIST(Database[[#This Row],[C/$]],$M$127,$M$128,TRUE)</f>
        <v>0.59287856910765835</v>
      </c>
      <c r="V102" s="11">
        <f>Database[[#This Row],[C/Lb N]]*$F$14+Database[[#This Row],[C/$ N]]*$F$16+Database[[#This Row],[Pack N]]*$F$15</f>
        <v>4.0340747231916971</v>
      </c>
      <c r="W102" s="32">
        <v>0.01</v>
      </c>
      <c r="X102" s="32">
        <v>0</v>
      </c>
      <c r="Y102" s="32">
        <v>0</v>
      </c>
      <c r="Z102" s="32">
        <v>0.23</v>
      </c>
      <c r="AA102" s="32">
        <v>0.18</v>
      </c>
      <c r="AB102" s="32">
        <v>7.0000000000000007E-2</v>
      </c>
      <c r="AC102" s="32">
        <v>0</v>
      </c>
      <c r="AD102" s="32">
        <v>0.12</v>
      </c>
      <c r="AE102" s="32">
        <v>0</v>
      </c>
      <c r="AF102" s="32">
        <v>0</v>
      </c>
      <c r="AG102" s="32">
        <v>0</v>
      </c>
      <c r="AH102" s="32">
        <v>0</v>
      </c>
      <c r="AI102" s="32">
        <v>0.1</v>
      </c>
      <c r="AJ102" s="32">
        <v>0.04</v>
      </c>
    </row>
    <row r="103" spans="2:36" x14ac:dyDescent="0.2">
      <c r="B103" t="s">
        <v>194</v>
      </c>
      <c r="C103" t="s">
        <v>195</v>
      </c>
      <c r="D103" t="s">
        <v>83</v>
      </c>
      <c r="E103" s="20">
        <f>((Database[[#This Row],[Raw Score]]-MIN(Database[Raw Score]))/(MAX(Database[Raw Score])-MIN(Database[Raw Score])))*10</f>
        <v>2.8086157112117718</v>
      </c>
      <c r="F103" s="21">
        <v>1.98</v>
      </c>
      <c r="G103" s="27" t="s">
        <v>20</v>
      </c>
      <c r="H103" s="27" t="s">
        <v>24</v>
      </c>
      <c r="I103" s="39">
        <v>110</v>
      </c>
      <c r="J103" s="37">
        <f>113/4</f>
        <v>28.25</v>
      </c>
      <c r="K103" s="38">
        <v>113</v>
      </c>
      <c r="L103" s="9">
        <f>IF(Database[[#This Row],[g]],Database[[#This Row],[C]]/Database[[#This Row],[Lb]],0)</f>
        <v>1766.200378761062</v>
      </c>
      <c r="M103" s="9">
        <f>IF(Database[[#This Row],[$]], Database[[#This Row],[C]]/Database[[#This Row],[$]],0)</f>
        <v>222.22222222222223</v>
      </c>
      <c r="N103" s="25">
        <f>IF(OR(ISBLANK(Database[[#This Row],[Air]]),ISBLANK(Database[[#This Row],[Flex]])),0,VLOOKUP(Database[[#This Row],[Flex]],FlexScore[],2,FALSE)+VLOOKUP(Database[[#This Row],[Air]],AirScore[],2,FALSE))</f>
        <v>4</v>
      </c>
      <c r="O103" s="25">
        <f>Database[[#This Row],[g]]/Database[[#This Row],[g/S]]</f>
        <v>4</v>
      </c>
      <c r="P103" s="42">
        <f>IF(Database[[#This Row],[g]],Database[[#This Row],[g]]/453.59237,0)</f>
        <v>0.24912235626891166</v>
      </c>
      <c r="Q103" s="10">
        <f>Database[[#This Row],[Lb]]*16</f>
        <v>3.9859577003025866</v>
      </c>
      <c r="R103" s="9">
        <f>IF(Database[[#This Row],[g]],(Database[[#This Row],[C/S]]/Database[[#This Row],[g/S]])*Database[[#This Row],[g]],0)</f>
        <v>440</v>
      </c>
      <c r="S103" s="11">
        <f>_xlfn.NORM.DIST(Database[[#This Row],[C/Lb]],$L$127,$L$128,TRUE)</f>
        <v>0.39876191106538211</v>
      </c>
      <c r="T103" s="12">
        <f>_xlfn.NORM.DIST(Database[[#This Row],[Pack]],$N$127,$N$128,TRUE)</f>
        <v>0.2705690307561387</v>
      </c>
      <c r="U103" s="11">
        <f>_xlfn.NORM.DIST(Database[[#This Row],[C/$]],$M$127,$M$128,TRUE)</f>
        <v>0.36496486075433571</v>
      </c>
      <c r="V103" s="11">
        <f>Database[[#This Row],[C/Lb N]]*$F$14+Database[[#This Row],[C/$ N]]*$F$16+Database[[#This Row],[Pack N]]*$F$15</f>
        <v>4.0286041101675769</v>
      </c>
      <c r="W103" s="32">
        <v>0.04</v>
      </c>
      <c r="X103" s="32">
        <v>0.1</v>
      </c>
      <c r="Y103" s="32">
        <v>0</v>
      </c>
      <c r="Z103" s="32">
        <v>0.2</v>
      </c>
      <c r="AA103" s="32">
        <v>7.0000000000000007E-2</v>
      </c>
      <c r="AB103" s="32">
        <v>0.04</v>
      </c>
      <c r="AC103" s="32">
        <v>0.02</v>
      </c>
      <c r="AD103" s="32">
        <v>0.04</v>
      </c>
      <c r="AE103" s="32">
        <v>0</v>
      </c>
      <c r="AF103" s="32">
        <v>0</v>
      </c>
      <c r="AG103" s="32">
        <v>0</v>
      </c>
      <c r="AH103" s="32">
        <v>0.02</v>
      </c>
      <c r="AI103" s="32">
        <v>0.02</v>
      </c>
      <c r="AJ103" s="32">
        <v>0.06</v>
      </c>
    </row>
    <row r="104" spans="2:36" x14ac:dyDescent="0.2">
      <c r="B104" t="s">
        <v>196</v>
      </c>
      <c r="C104" t="s">
        <v>197</v>
      </c>
      <c r="D104" t="s">
        <v>66</v>
      </c>
      <c r="E104" s="20">
        <f>((Database[[#This Row],[Raw Score]]-MIN(Database[Raw Score]))/(MAX(Database[Raw Score])-MIN(Database[Raw Score])))*10</f>
        <v>2.7821378924986044</v>
      </c>
      <c r="F104" s="21">
        <v>2.5</v>
      </c>
      <c r="G104" s="27" t="s">
        <v>17</v>
      </c>
      <c r="H104" s="27" t="s">
        <v>27</v>
      </c>
      <c r="I104" s="22">
        <v>190</v>
      </c>
      <c r="J104" s="37">
        <v>48</v>
      </c>
      <c r="K104" s="38">
        <v>48</v>
      </c>
      <c r="L104" s="9">
        <f>IF(Database[[#This Row],[g]],Database[[#This Row],[C]]/Database[[#This Row],[Lb]],0)</f>
        <v>1795.4697979166667</v>
      </c>
      <c r="M104" s="9">
        <f>IF(Database[[#This Row],[$]], Database[[#This Row],[C]]/Database[[#This Row],[$]],0)</f>
        <v>76</v>
      </c>
      <c r="N104" s="25">
        <f>IF(OR(ISBLANK(Database[[#This Row],[Air]]),ISBLANK(Database[[#This Row],[Flex]])),0,VLOOKUP(Database[[#This Row],[Flex]],FlexScore[],2,FALSE)+VLOOKUP(Database[[#This Row],[Air]],AirScore[],2,FALSE))</f>
        <v>5</v>
      </c>
      <c r="O104" s="25">
        <f>Database[[#This Row],[g]]/Database[[#This Row],[g/S]]</f>
        <v>1</v>
      </c>
      <c r="P104" s="42">
        <f>IF(Database[[#This Row],[g]],Database[[#This Row],[g]]/453.59237,0)</f>
        <v>0.10582188584874123</v>
      </c>
      <c r="Q104" s="10">
        <f>Database[[#This Row],[Lb]]*16</f>
        <v>1.6931501735798598</v>
      </c>
      <c r="R104" s="9">
        <f>IF(Database[[#This Row],[g]],(Database[[#This Row],[C/S]]/Database[[#This Row],[g/S]])*Database[[#This Row],[g]],0)</f>
        <v>190</v>
      </c>
      <c r="S104" s="11">
        <f>_xlfn.NORM.DIST(Database[[#This Row],[C/Lb]],$L$127,$L$128,TRUE)</f>
        <v>0.41532416935619393</v>
      </c>
      <c r="T104" s="12">
        <f>_xlfn.NORM.DIST(Database[[#This Row],[Pack]],$N$127,$N$128,TRUE)</f>
        <v>0.48330687382898091</v>
      </c>
      <c r="U104" s="11">
        <f>_xlfn.NORM.DIST(Database[[#This Row],[C/$]],$M$127,$M$128,TRUE)</f>
        <v>0.18392730330549104</v>
      </c>
      <c r="V104" s="11">
        <f>Database[[#This Row],[C/Lb N]]*$F$14+Database[[#This Row],[C/$ N]]*$F$16+Database[[#This Row],[Pack N]]*$F$15</f>
        <v>4.0103406737115987</v>
      </c>
      <c r="W104" s="32">
        <v>7.0000000000000007E-2</v>
      </c>
      <c r="X104" s="32">
        <v>0.11</v>
      </c>
      <c r="Y104" s="32">
        <v>0</v>
      </c>
      <c r="Z104" s="32">
        <v>0.04</v>
      </c>
      <c r="AA104" s="32">
        <v>0.1</v>
      </c>
      <c r="AB104" s="32">
        <v>0.09</v>
      </c>
      <c r="AC104" s="32">
        <v>0.18</v>
      </c>
      <c r="AD104" s="32">
        <v>0.14000000000000001</v>
      </c>
      <c r="AE104" s="32">
        <v>0</v>
      </c>
      <c r="AF104" s="32">
        <v>0</v>
      </c>
      <c r="AG104" s="32">
        <v>0</v>
      </c>
      <c r="AH104" s="32">
        <v>0.02</v>
      </c>
      <c r="AI104" s="32">
        <v>0.08</v>
      </c>
      <c r="AJ104" s="32">
        <v>0.04</v>
      </c>
    </row>
    <row r="105" spans="2:36" x14ac:dyDescent="0.2">
      <c r="B105" t="s">
        <v>198</v>
      </c>
      <c r="C105" t="s">
        <v>247</v>
      </c>
      <c r="D105" t="s">
        <v>77</v>
      </c>
      <c r="E105" s="20">
        <f>((Database[[#This Row],[Raw Score]]-MIN(Database[Raw Score]))/(MAX(Database[Raw Score])-MIN(Database[Raw Score])))*10</f>
        <v>2.7098506278297174</v>
      </c>
      <c r="F105" s="34">
        <v>10.95</v>
      </c>
      <c r="G105" s="27" t="s">
        <v>20</v>
      </c>
      <c r="H105" s="30" t="s">
        <v>24</v>
      </c>
      <c r="I105" s="40">
        <v>230</v>
      </c>
      <c r="J105" s="37">
        <v>54</v>
      </c>
      <c r="K105" s="38">
        <v>108</v>
      </c>
      <c r="L105" s="9">
        <f>IF(Database[[#This Row],[g]],Database[[#This Row],[C]]/Database[[#This Row],[Lb]],0)</f>
        <v>1931.9675018518519</v>
      </c>
      <c r="M105" s="9">
        <f>IF(Database[[#This Row],[$]], Database[[#This Row],[C]]/Database[[#This Row],[$]],0)</f>
        <v>42.009132420091326</v>
      </c>
      <c r="N105" s="25">
        <f>IF(OR(ISBLANK(Database[[#This Row],[Air]]),ISBLANK(Database[[#This Row],[Flex]])),0,VLOOKUP(Database[[#This Row],[Flex]],FlexScore[],2,FALSE)+VLOOKUP(Database[[#This Row],[Air]],AirScore[],2,FALSE))</f>
        <v>4</v>
      </c>
      <c r="O105" s="25">
        <f>Database[[#This Row],[g]]/Database[[#This Row],[g/S]]</f>
        <v>2</v>
      </c>
      <c r="P105" s="42">
        <f>IF(Database[[#This Row],[g]],Database[[#This Row],[g]]/453.59237,0)</f>
        <v>0.23809924315966777</v>
      </c>
      <c r="Q105" s="10">
        <f>Database[[#This Row],[Lb]]*16</f>
        <v>3.8095878905546843</v>
      </c>
      <c r="R105" s="9">
        <f>IF(Database[[#This Row],[g]],(Database[[#This Row],[C/S]]/Database[[#This Row],[g/S]])*Database[[#This Row],[g]],0)</f>
        <v>460</v>
      </c>
      <c r="S105" s="11">
        <f>_xlfn.NORM.DIST(Database[[#This Row],[C/Lb]],$L$127,$L$128,TRUE)</f>
        <v>0.49408843659296436</v>
      </c>
      <c r="T105" s="12">
        <f>_xlfn.NORM.DIST(Database[[#This Row],[Pack]],$N$127,$N$128,TRUE)</f>
        <v>0.2705690307561387</v>
      </c>
      <c r="U105" s="11">
        <f>_xlfn.NORM.DIST(Database[[#This Row],[C/$]],$M$127,$M$128,TRUE)</f>
        <v>0.15160362209054273</v>
      </c>
      <c r="V105" s="11">
        <f>Database[[#This Row],[C/Lb N]]*$F$14+Database[[#This Row],[C/$ N]]*$F$16+Database[[#This Row],[Pack N]]*$F$15</f>
        <v>3.9604795473416923</v>
      </c>
      <c r="W105" s="32">
        <v>0.15</v>
      </c>
      <c r="X105" s="32">
        <v>0.2</v>
      </c>
      <c r="Y105" s="32">
        <v>0.15</v>
      </c>
      <c r="Z105" s="32">
        <v>0.66</v>
      </c>
      <c r="AA105" s="32">
        <v>0.24</v>
      </c>
      <c r="AB105" s="32">
        <v>0.28999999999999998</v>
      </c>
      <c r="AC105" s="32">
        <v>0.02</v>
      </c>
      <c r="AD105" s="32">
        <v>0.2</v>
      </c>
      <c r="AE105" s="32">
        <v>0</v>
      </c>
      <c r="AF105" s="32">
        <v>0</v>
      </c>
      <c r="AG105" s="32">
        <v>0.03</v>
      </c>
      <c r="AH105" s="32">
        <v>0.04</v>
      </c>
      <c r="AI105" s="32">
        <v>0.15</v>
      </c>
      <c r="AJ105" s="32">
        <v>0.1</v>
      </c>
    </row>
    <row r="106" spans="2:36" x14ac:dyDescent="0.2">
      <c r="B106" t="s">
        <v>199</v>
      </c>
      <c r="C106" t="s">
        <v>200</v>
      </c>
      <c r="D106" t="s">
        <v>66</v>
      </c>
      <c r="E106" s="20">
        <f>((Database[[#This Row],[Raw Score]]-MIN(Database[Raw Score]))/(MAX(Database[Raw Score])-MIN(Database[Raw Score])))*10</f>
        <v>2.6117916770000118</v>
      </c>
      <c r="F106" s="21">
        <v>2.5</v>
      </c>
      <c r="G106" s="27" t="s">
        <v>17</v>
      </c>
      <c r="H106" s="27" t="s">
        <v>27</v>
      </c>
      <c r="I106" s="22">
        <v>260</v>
      </c>
      <c r="J106" s="37">
        <v>68</v>
      </c>
      <c r="K106" s="38">
        <v>68</v>
      </c>
      <c r="L106" s="9">
        <f>IF(Database[[#This Row],[g]],Database[[#This Row],[C]]/Database[[#This Row],[Lb]],0)</f>
        <v>1734.323767647059</v>
      </c>
      <c r="M106" s="9">
        <f>IF(Database[[#This Row],[$]], Database[[#This Row],[C]]/Database[[#This Row],[$]],0)</f>
        <v>104</v>
      </c>
      <c r="N106" s="25">
        <f>IF(OR(ISBLANK(Database[[#This Row],[Air]]),ISBLANK(Database[[#This Row],[Flex]])),0,VLOOKUP(Database[[#This Row],[Flex]],FlexScore[],2,FALSE)+VLOOKUP(Database[[#This Row],[Air]],AirScore[],2,FALSE))</f>
        <v>5</v>
      </c>
      <c r="O106" s="25">
        <f>Database[[#This Row],[g]]/Database[[#This Row],[g/S]]</f>
        <v>1</v>
      </c>
      <c r="P106" s="42">
        <f>IF(Database[[#This Row],[g]],Database[[#This Row],[g]]/453.59237,0)</f>
        <v>0.14991433828571674</v>
      </c>
      <c r="Q106" s="10">
        <f>Database[[#This Row],[Lb]]*16</f>
        <v>2.3986294125714678</v>
      </c>
      <c r="R106" s="9">
        <f>IF(Database[[#This Row],[g]],(Database[[#This Row],[C/S]]/Database[[#This Row],[g/S]])*Database[[#This Row],[g]],0)</f>
        <v>260</v>
      </c>
      <c r="S106" s="11">
        <f>_xlfn.NORM.DIST(Database[[#This Row],[C/Lb]],$L$127,$L$128,TRUE)</f>
        <v>0.38093045657804725</v>
      </c>
      <c r="T106" s="12">
        <f>_xlfn.NORM.DIST(Database[[#This Row],[Pack]],$N$127,$N$128,TRUE)</f>
        <v>0.48330687382898091</v>
      </c>
      <c r="U106" s="11">
        <f>_xlfn.NORM.DIST(Database[[#This Row],[C/$]],$M$127,$M$128,TRUE)</f>
        <v>0.21354852064831861</v>
      </c>
      <c r="V106" s="11">
        <f>Database[[#This Row],[C/Lb N]]*$F$14+Database[[#This Row],[C/$ N]]*$F$16+Database[[#This Row],[Pack N]]*$F$15</f>
        <v>3.8928420490712012</v>
      </c>
      <c r="W106" s="32">
        <v>0.1</v>
      </c>
      <c r="X106" s="32">
        <v>0.06</v>
      </c>
      <c r="Y106" s="32">
        <v>0</v>
      </c>
      <c r="Z106" s="32">
        <v>0.1</v>
      </c>
      <c r="AA106" s="32">
        <v>0.15</v>
      </c>
      <c r="AB106" s="32">
        <v>0.19</v>
      </c>
      <c r="AC106" s="32">
        <v>0.3</v>
      </c>
      <c r="AD106" s="32">
        <v>0.22</v>
      </c>
      <c r="AE106" s="32">
        <v>0</v>
      </c>
      <c r="AF106" s="32">
        <v>0</v>
      </c>
      <c r="AG106" s="32">
        <v>0</v>
      </c>
      <c r="AH106" s="32">
        <v>0.04</v>
      </c>
      <c r="AI106" s="32">
        <v>0.1</v>
      </c>
      <c r="AJ106" s="32">
        <v>0.06</v>
      </c>
    </row>
    <row r="107" spans="2:36" x14ac:dyDescent="0.2">
      <c r="B107" t="s">
        <v>183</v>
      </c>
      <c r="C107" t="s">
        <v>201</v>
      </c>
      <c r="D107" t="s">
        <v>83</v>
      </c>
      <c r="E107" s="20">
        <f>((Database[[#This Row],[Raw Score]]-MIN(Database[Raw Score]))/(MAX(Database[Raw Score])-MIN(Database[Raw Score])))*10</f>
        <v>2.2968317363986808</v>
      </c>
      <c r="F107" s="21">
        <v>3.69</v>
      </c>
      <c r="G107" s="27" t="s">
        <v>17</v>
      </c>
      <c r="H107" s="27" t="s">
        <v>25</v>
      </c>
      <c r="I107" s="39">
        <v>110</v>
      </c>
      <c r="J107" s="37">
        <v>45.3</v>
      </c>
      <c r="K107" s="38">
        <v>453</v>
      </c>
      <c r="L107" s="9">
        <f>IF(Database[[#This Row],[g]],Database[[#This Row],[C]]/Database[[#This Row],[Lb]],0)</f>
        <v>1101.4384260485651</v>
      </c>
      <c r="M107" s="9">
        <f>IF(Database[[#This Row],[$]], Database[[#This Row],[C]]/Database[[#This Row],[$]],0)</f>
        <v>298.10298102981028</v>
      </c>
      <c r="N107" s="25">
        <f>IF(OR(ISBLANK(Database[[#This Row],[Air]]),ISBLANK(Database[[#This Row],[Flex]])),0,VLOOKUP(Database[[#This Row],[Flex]],FlexScore[],2,FALSE)+VLOOKUP(Database[[#This Row],[Air]],AirScore[],2,FALSE))</f>
        <v>6.5</v>
      </c>
      <c r="O107" s="25">
        <f>Database[[#This Row],[g]]/Database[[#This Row],[g/S]]</f>
        <v>10</v>
      </c>
      <c r="P107" s="42">
        <f>IF(Database[[#This Row],[g]],Database[[#This Row],[g]]/453.59237,0)</f>
        <v>0.99869404769749537</v>
      </c>
      <c r="Q107" s="10">
        <f>Database[[#This Row],[Lb]]*16</f>
        <v>15.979104763159926</v>
      </c>
      <c r="R107" s="9">
        <f>IF(Database[[#This Row],[g]],(Database[[#This Row],[C/S]]/Database[[#This Row],[g/S]])*Database[[#This Row],[g]],0)</f>
        <v>1100</v>
      </c>
      <c r="S107" s="11">
        <f>_xlfn.NORM.DIST(Database[[#This Row],[C/Lb]],$L$127,$L$128,TRUE)</f>
        <v>0.11010681674116116</v>
      </c>
      <c r="T107" s="12">
        <f>_xlfn.NORM.DIST(Database[[#This Row],[Pack]],$N$127,$N$128,TRUE)</f>
        <v>0.7916042392722078</v>
      </c>
      <c r="U107" s="11">
        <f>_xlfn.NORM.DIST(Database[[#This Row],[C/$]],$M$127,$M$128,TRUE)</f>
        <v>0.4772482522954431</v>
      </c>
      <c r="V107" s="11">
        <f>Database[[#This Row],[C/Lb N]]*$F$14+Database[[#This Row],[C/$ N]]*$F$16+Database[[#This Row],[Pack N]]*$F$15</f>
        <v>3.675594135877712</v>
      </c>
      <c r="W107" s="32">
        <v>0.03</v>
      </c>
      <c r="X107" s="32">
        <v>0</v>
      </c>
      <c r="Y107" s="32">
        <v>0</v>
      </c>
      <c r="Z107" s="32">
        <v>0.17</v>
      </c>
      <c r="AA107" s="32">
        <v>0.08</v>
      </c>
      <c r="AB107" s="32">
        <v>0.18</v>
      </c>
      <c r="AC107" s="32">
        <v>0</v>
      </c>
      <c r="AD107" s="32">
        <v>0.08</v>
      </c>
      <c r="AE107" s="32">
        <v>0</v>
      </c>
      <c r="AF107" s="32">
        <v>0</v>
      </c>
      <c r="AG107" s="32">
        <v>0</v>
      </c>
      <c r="AH107" s="32">
        <v>0.08</v>
      </c>
      <c r="AI107" s="32">
        <v>0.04</v>
      </c>
      <c r="AJ107" s="32">
        <v>0.02</v>
      </c>
    </row>
    <row r="108" spans="2:36" x14ac:dyDescent="0.2">
      <c r="B108" t="s">
        <v>202</v>
      </c>
      <c r="C108" t="s">
        <v>248</v>
      </c>
      <c r="D108" t="s">
        <v>77</v>
      </c>
      <c r="E108" s="20">
        <f>((Database[[#This Row],[Raw Score]]-MIN(Database[Raw Score]))/(MAX(Database[Raw Score])-MIN(Database[Raw Score])))*10</f>
        <v>2.2512762717283898</v>
      </c>
      <c r="F108" s="34">
        <v>9.9499999999999993</v>
      </c>
      <c r="G108" s="27" t="s">
        <v>20</v>
      </c>
      <c r="H108" s="30" t="s">
        <v>24</v>
      </c>
      <c r="I108" s="40">
        <v>790</v>
      </c>
      <c r="J108" s="37">
        <v>198</v>
      </c>
      <c r="K108" s="38">
        <v>198</v>
      </c>
      <c r="L108" s="9">
        <f>IF(Database[[#This Row],[g]],Database[[#This Row],[C]]/Database[[#This Row],[Lb]],0)</f>
        <v>1809.787738888889</v>
      </c>
      <c r="M108" s="9">
        <f>IF(Database[[#This Row],[$]], Database[[#This Row],[C]]/Database[[#This Row],[$]],0)</f>
        <v>79.396984924623126</v>
      </c>
      <c r="N108" s="25">
        <f>IF(OR(ISBLANK(Database[[#This Row],[Air]]),ISBLANK(Database[[#This Row],[Flex]])),0,VLOOKUP(Database[[#This Row],[Flex]],FlexScore[],2,FALSE)+VLOOKUP(Database[[#This Row],[Air]],AirScore[],2,FALSE))</f>
        <v>4</v>
      </c>
      <c r="O108" s="25">
        <f>Database[[#This Row],[g]]/Database[[#This Row],[g/S]]</f>
        <v>1</v>
      </c>
      <c r="P108" s="42">
        <f>IF(Database[[#This Row],[g]],Database[[#This Row],[g]]/453.59237,0)</f>
        <v>0.43651527912605759</v>
      </c>
      <c r="Q108" s="10">
        <f>Database[[#This Row],[Lb]]*16</f>
        <v>6.9842444660169214</v>
      </c>
      <c r="R108" s="9">
        <f>IF(Database[[#This Row],[g]],(Database[[#This Row],[C/S]]/Database[[#This Row],[g/S]])*Database[[#This Row],[g]],0)</f>
        <v>790</v>
      </c>
      <c r="S108" s="11">
        <f>_xlfn.NORM.DIST(Database[[#This Row],[C/Lb]],$L$127,$L$128,TRUE)</f>
        <v>0.42348316601324681</v>
      </c>
      <c r="T108" s="12">
        <f>_xlfn.NORM.DIST(Database[[#This Row],[Pack]],$N$127,$N$128,TRUE)</f>
        <v>0.2705690307561387</v>
      </c>
      <c r="U108" s="11">
        <f>_xlfn.NORM.DIST(Database[[#This Row],[C/$]],$M$127,$M$128,TRUE)</f>
        <v>0.18737819180881024</v>
      </c>
      <c r="V108" s="11">
        <f>Database[[#This Row],[C/Lb N]]*$F$14+Database[[#This Row],[C/$ N]]*$F$16+Database[[#This Row],[Pack N]]*$F$15</f>
        <v>3.644171633018189</v>
      </c>
      <c r="W108" s="32">
        <v>0.31</v>
      </c>
      <c r="X108" s="32">
        <v>0.65</v>
      </c>
      <c r="Y108" s="32">
        <v>0.23</v>
      </c>
      <c r="Z108" s="32">
        <v>1.1200000000000001</v>
      </c>
      <c r="AA108" s="32">
        <v>0.41</v>
      </c>
      <c r="AB108" s="32">
        <v>0.11</v>
      </c>
      <c r="AC108" s="32">
        <v>0</v>
      </c>
      <c r="AD108" s="32">
        <v>0.34</v>
      </c>
      <c r="AE108" s="32">
        <v>0</v>
      </c>
      <c r="AF108" s="32">
        <v>0</v>
      </c>
      <c r="AG108" s="32">
        <v>0.06</v>
      </c>
      <c r="AH108" s="32">
        <v>0.5</v>
      </c>
      <c r="AI108" s="32">
        <v>0.15</v>
      </c>
      <c r="AJ108" s="32">
        <v>0.3</v>
      </c>
    </row>
    <row r="109" spans="2:36" x14ac:dyDescent="0.2">
      <c r="B109" t="s">
        <v>181</v>
      </c>
      <c r="C109" t="s">
        <v>203</v>
      </c>
      <c r="D109" t="s">
        <v>79</v>
      </c>
      <c r="E109" s="20">
        <f>((Database[[#This Row],[Raw Score]]-MIN(Database[Raw Score]))/(MAX(Database[Raw Score])-MIN(Database[Raw Score])))*10</f>
        <v>2.1232673936584869</v>
      </c>
      <c r="F109" s="34">
        <v>7.69</v>
      </c>
      <c r="G109" s="27" t="s">
        <v>17</v>
      </c>
      <c r="H109" s="30" t="s">
        <v>19</v>
      </c>
      <c r="I109" s="40">
        <v>100</v>
      </c>
      <c r="J109" s="37">
        <v>40</v>
      </c>
      <c r="K109" s="38">
        <v>566</v>
      </c>
      <c r="L109" s="9">
        <f>IF(Database[[#This Row],[g]],Database[[#This Row],[C]]/Database[[#This Row],[Lb]],0)</f>
        <v>1133.9809250000001</v>
      </c>
      <c r="M109" s="9">
        <f>IF(Database[[#This Row],[$]], Database[[#This Row],[C]]/Database[[#This Row],[$]],0)</f>
        <v>184.00520156046812</v>
      </c>
      <c r="N109" s="25">
        <f>IF(OR(ISBLANK(Database[[#This Row],[Air]]),ISBLANK(Database[[#This Row],[Flex]])),0,VLOOKUP(Database[[#This Row],[Flex]],FlexScore[],2,FALSE)+VLOOKUP(Database[[#This Row],[Air]],AirScore[],2,FALSE))</f>
        <v>8</v>
      </c>
      <c r="O109" s="25">
        <f>Database[[#This Row],[g]]/Database[[#This Row],[g/S]]</f>
        <v>14.15</v>
      </c>
      <c r="P109" s="42">
        <f>IF(Database[[#This Row],[g]],Database[[#This Row],[g]]/453.59237,0)</f>
        <v>1.247816403966407</v>
      </c>
      <c r="Q109" s="10">
        <f>Database[[#This Row],[Lb]]*16</f>
        <v>19.965062463462512</v>
      </c>
      <c r="R109" s="9">
        <f>IF(Database[[#This Row],[g]],(Database[[#This Row],[C/S]]/Database[[#This Row],[g/S]])*Database[[#This Row],[g]],0)</f>
        <v>1415</v>
      </c>
      <c r="S109" s="11">
        <f>_xlfn.NORM.DIST(Database[[#This Row],[C/Lb]],$L$127,$L$128,TRUE)</f>
        <v>0.11929781615695118</v>
      </c>
      <c r="T109" s="12">
        <f>_xlfn.NORM.DIST(Database[[#This Row],[Pack]],$N$127,$N$128,TRUE)</f>
        <v>0.95212895676000608</v>
      </c>
      <c r="U109" s="11">
        <f>_xlfn.NORM.DIST(Database[[#This Row],[C/$]],$M$127,$M$128,TRUE)</f>
        <v>0.31194365121158496</v>
      </c>
      <c r="V109" s="11">
        <f>Database[[#This Row],[C/Lb N]]*$F$14+Database[[#This Row],[C/$ N]]*$F$16+Database[[#This Row],[Pack N]]*$F$15</f>
        <v>3.5558757640964744</v>
      </c>
      <c r="W109" s="32">
        <v>0</v>
      </c>
      <c r="X109" s="32">
        <v>0</v>
      </c>
      <c r="Y109" s="32">
        <v>0</v>
      </c>
      <c r="Z109" s="32">
        <v>0</v>
      </c>
      <c r="AA109" s="32">
        <v>0.12</v>
      </c>
      <c r="AB109" s="32">
        <v>0.36</v>
      </c>
      <c r="AC109" s="32">
        <v>0.16</v>
      </c>
      <c r="AD109" s="32">
        <v>0</v>
      </c>
      <c r="AE109" s="32">
        <v>0</v>
      </c>
      <c r="AF109" s="32">
        <v>0</v>
      </c>
      <c r="AG109" s="32">
        <v>0</v>
      </c>
      <c r="AH109" s="32">
        <v>0</v>
      </c>
      <c r="AI109" s="32">
        <v>0</v>
      </c>
      <c r="AJ109" s="32">
        <v>0</v>
      </c>
    </row>
    <row r="110" spans="2:36" x14ac:dyDescent="0.2">
      <c r="B110" t="s">
        <v>204</v>
      </c>
      <c r="C110" t="s">
        <v>205</v>
      </c>
      <c r="D110" t="s">
        <v>79</v>
      </c>
      <c r="E110" s="20">
        <f>((Database[[#This Row],[Raw Score]]-MIN(Database[Raw Score]))/(MAX(Database[Raw Score])-MIN(Database[Raw Score])))*10</f>
        <v>1.9304079420670719</v>
      </c>
      <c r="F110" s="21">
        <v>3.68</v>
      </c>
      <c r="G110" s="27" t="s">
        <v>20</v>
      </c>
      <c r="H110" s="27" t="s">
        <v>19</v>
      </c>
      <c r="I110" s="39">
        <v>110</v>
      </c>
      <c r="J110" s="37">
        <f>226/6</f>
        <v>37.666666666666664</v>
      </c>
      <c r="K110" s="38">
        <v>226</v>
      </c>
      <c r="L110" s="9">
        <f>IF(Database[[#This Row],[g]],Database[[#This Row],[C]]/Database[[#This Row],[Lb]],0)</f>
        <v>1324.6502840707965</v>
      </c>
      <c r="M110" s="9">
        <f>IF(Database[[#This Row],[$]], Database[[#This Row],[C]]/Database[[#This Row],[$]],0)</f>
        <v>179.3478260869565</v>
      </c>
      <c r="N110" s="25">
        <f>IF(OR(ISBLANK(Database[[#This Row],[Air]]),ISBLANK(Database[[#This Row],[Flex]])),0,VLOOKUP(Database[[#This Row],[Flex]],FlexScore[],2,FALSE)+VLOOKUP(Database[[#This Row],[Air]],AirScore[],2,FALSE))</f>
        <v>6</v>
      </c>
      <c r="O110" s="25">
        <f>Database[[#This Row],[g]]/Database[[#This Row],[g/S]]</f>
        <v>6</v>
      </c>
      <c r="P110" s="42">
        <f>IF(Database[[#This Row],[g]],Database[[#This Row],[g]]/453.59237,0)</f>
        <v>0.49824471253782332</v>
      </c>
      <c r="Q110" s="10">
        <f>Database[[#This Row],[Lb]]*16</f>
        <v>7.9719154006051731</v>
      </c>
      <c r="R110" s="9">
        <f>IF(Database[[#This Row],[g]],(Database[[#This Row],[C/S]]/Database[[#This Row],[g/S]])*Database[[#This Row],[g]],0)</f>
        <v>660</v>
      </c>
      <c r="S110" s="11">
        <f>_xlfn.NORM.DIST(Database[[#This Row],[C/Lb]],$L$127,$L$128,TRUE)</f>
        <v>0.1839389517201426</v>
      </c>
      <c r="T110" s="12">
        <f>_xlfn.NORM.DIST(Database[[#This Row],[Pack]],$N$127,$N$128,TRUE)</f>
        <v>0.70103567958788682</v>
      </c>
      <c r="U110" s="11">
        <f>_xlfn.NORM.DIST(Database[[#This Row],[C/$]],$M$127,$M$128,TRUE)</f>
        <v>0.30571441947299016</v>
      </c>
      <c r="V110" s="11">
        <f>Database[[#This Row],[C/Lb N]]*$F$14+Database[[#This Row],[C/$ N]]*$F$16+Database[[#This Row],[Pack N]]*$F$15</f>
        <v>3.4228483279155997</v>
      </c>
      <c r="W110" s="32">
        <v>0</v>
      </c>
      <c r="X110" s="32">
        <v>0</v>
      </c>
      <c r="Y110" s="32">
        <v>0</v>
      </c>
      <c r="Z110" s="32">
        <v>0</v>
      </c>
      <c r="AA110" s="32">
        <v>0.11</v>
      </c>
      <c r="AB110" s="32">
        <v>0.12</v>
      </c>
      <c r="AC110" s="32">
        <v>0</v>
      </c>
      <c r="AD110" s="32">
        <v>0</v>
      </c>
      <c r="AE110" s="32">
        <v>0</v>
      </c>
      <c r="AF110" s="32">
        <v>0</v>
      </c>
      <c r="AG110" s="32">
        <v>0</v>
      </c>
      <c r="AH110" s="32">
        <v>0.02</v>
      </c>
      <c r="AI110" s="32">
        <v>0</v>
      </c>
      <c r="AJ110" s="32">
        <v>0.06</v>
      </c>
    </row>
    <row r="111" spans="2:36" x14ac:dyDescent="0.2">
      <c r="B111" t="s">
        <v>206</v>
      </c>
      <c r="C111" t="s">
        <v>207</v>
      </c>
      <c r="D111" t="s">
        <v>92</v>
      </c>
      <c r="E111" s="20">
        <f>((Database[[#This Row],[Raw Score]]-MIN(Database[Raw Score]))/(MAX(Database[Raw Score])-MIN(Database[Raw Score])))*10</f>
        <v>1.7706540690871497</v>
      </c>
      <c r="F111" s="34">
        <v>18.989999999999998</v>
      </c>
      <c r="G111" s="27" t="s">
        <v>20</v>
      </c>
      <c r="H111" s="30" t="s">
        <v>22</v>
      </c>
      <c r="I111" s="40">
        <v>100</v>
      </c>
      <c r="J111" s="37">
        <f>Database[[#This Row],[g]]/10</f>
        <v>28.3</v>
      </c>
      <c r="K111" s="38">
        <v>283</v>
      </c>
      <c r="L111" s="9">
        <f>IF(Database[[#This Row],[g]],Database[[#This Row],[C]]/Database[[#This Row],[Lb]],0)</f>
        <v>1602.7998939929328</v>
      </c>
      <c r="M111" s="9">
        <f>IF(Database[[#This Row],[$]], Database[[#This Row],[C]]/Database[[#This Row],[$]],0)</f>
        <v>52.659294365455501</v>
      </c>
      <c r="N111" s="25">
        <f>IF(OR(ISBLANK(Database[[#This Row],[Air]]),ISBLANK(Database[[#This Row],[Flex]])),0,VLOOKUP(Database[[#This Row],[Flex]],FlexScore[],2,FALSE)+VLOOKUP(Database[[#This Row],[Air]],AirScore[],2,FALSE))</f>
        <v>5</v>
      </c>
      <c r="O111" s="25">
        <f>Database[[#This Row],[g]]/Database[[#This Row],[g/S]]</f>
        <v>10</v>
      </c>
      <c r="P111" s="42">
        <f>IF(Database[[#This Row],[g]],Database[[#This Row],[g]]/453.59237,0)</f>
        <v>0.62390820198320351</v>
      </c>
      <c r="Q111" s="10">
        <f>Database[[#This Row],[Lb]]*16</f>
        <v>9.9825312317312562</v>
      </c>
      <c r="R111" s="9">
        <f>IF(Database[[#This Row],[g]],(Database[[#This Row],[C/S]]/Database[[#This Row],[g/S]])*Database[[#This Row],[g]],0)</f>
        <v>999.99999999999989</v>
      </c>
      <c r="S111" s="11">
        <f>_xlfn.NORM.DIST(Database[[#This Row],[C/Lb]],$L$127,$L$128,TRUE)</f>
        <v>0.3103578560040906</v>
      </c>
      <c r="T111" s="12">
        <f>_xlfn.NORM.DIST(Database[[#This Row],[Pack]],$N$127,$N$128,TRUE)</f>
        <v>0.48330687382898091</v>
      </c>
      <c r="U111" s="11">
        <f>_xlfn.NORM.DIST(Database[[#This Row],[C/$]],$M$127,$M$128,TRUE)</f>
        <v>0.16129834408698121</v>
      </c>
      <c r="V111" s="11">
        <f>Database[[#This Row],[C/Lb N]]*$F$14+Database[[#This Row],[C/$ N]]*$F$16+Database[[#This Row],[Pack N]]*$F$15</f>
        <v>3.3126559159434494</v>
      </c>
      <c r="W111" s="32">
        <v>0</v>
      </c>
      <c r="X111" s="32">
        <v>0</v>
      </c>
      <c r="Y111" s="32">
        <v>0</v>
      </c>
      <c r="Z111" s="32">
        <v>0.03</v>
      </c>
      <c r="AA111" s="32">
        <v>0.08</v>
      </c>
      <c r="AB111" s="32">
        <v>0.11</v>
      </c>
      <c r="AC111" s="32">
        <v>0</v>
      </c>
      <c r="AD111" s="32">
        <v>0.06</v>
      </c>
      <c r="AE111" s="32">
        <v>0</v>
      </c>
      <c r="AF111" s="32">
        <v>0</v>
      </c>
      <c r="AG111" s="32">
        <v>0</v>
      </c>
      <c r="AH111" s="32">
        <v>0.06</v>
      </c>
      <c r="AI111" s="32">
        <v>0.1</v>
      </c>
      <c r="AJ111" s="32">
        <v>0.15</v>
      </c>
    </row>
    <row r="112" spans="2:36" x14ac:dyDescent="0.2">
      <c r="B112" t="s">
        <v>68</v>
      </c>
      <c r="C112" t="s">
        <v>208</v>
      </c>
      <c r="D112" t="s">
        <v>89</v>
      </c>
      <c r="E112" s="20">
        <f>((Database[[#This Row],[Raw Score]]-MIN(Database[Raw Score]))/(MAX(Database[Raw Score])-MIN(Database[Raw Score])))*10</f>
        <v>1.7518607326785798</v>
      </c>
      <c r="F112" s="34">
        <v>4.09</v>
      </c>
      <c r="G112" s="27" t="s">
        <v>20</v>
      </c>
      <c r="H112" s="30" t="s">
        <v>28</v>
      </c>
      <c r="I112" s="40">
        <v>210</v>
      </c>
      <c r="J112" s="37">
        <v>56.7</v>
      </c>
      <c r="K112" s="38">
        <v>250</v>
      </c>
      <c r="L112" s="9">
        <f>IF(Database[[#This Row],[g]],Database[[#This Row],[C]]/Database[[#This Row],[Lb]],0)</f>
        <v>1679.9717407407409</v>
      </c>
      <c r="M112" s="9">
        <f>IF(Database[[#This Row],[$]], Database[[#This Row],[C]]/Database[[#This Row],[$]],0)</f>
        <v>226.38775695010415</v>
      </c>
      <c r="N112" s="25">
        <f>IF(OR(ISBLANK(Database[[#This Row],[Air]]),ISBLANK(Database[[#This Row],[Flex]])),0,VLOOKUP(Database[[#This Row],[Flex]],FlexScore[],2,FALSE)+VLOOKUP(Database[[#This Row],[Air]],AirScore[],2,FALSE))</f>
        <v>2</v>
      </c>
      <c r="O112" s="25">
        <f>Database[[#This Row],[g]]/Database[[#This Row],[g/S]]</f>
        <v>4.409171075837742</v>
      </c>
      <c r="P112" s="42">
        <f>IF(Database[[#This Row],[g]],Database[[#This Row],[g]]/453.59237,0)</f>
        <v>0.55115565546219392</v>
      </c>
      <c r="Q112" s="10">
        <f>Database[[#This Row],[Lb]]*16</f>
        <v>8.8184904873951027</v>
      </c>
      <c r="R112" s="9">
        <f>IF(Database[[#This Row],[g]],(Database[[#This Row],[C/S]]/Database[[#This Row],[g/S]])*Database[[#This Row],[g]],0)</f>
        <v>925.92592592592598</v>
      </c>
      <c r="S112" s="11">
        <f>_xlfn.NORM.DIST(Database[[#This Row],[C/Lb]],$L$127,$L$128,TRUE)</f>
        <v>0.35112005488579345</v>
      </c>
      <c r="T112" s="12">
        <f>_xlfn.NORM.DIST(Database[[#This Row],[Pack]],$N$127,$N$128,TRUE)</f>
        <v>4.0096492533184723E-2</v>
      </c>
      <c r="U112" s="11">
        <f>_xlfn.NORM.DIST(Database[[#This Row],[C/$]],$M$127,$M$128,TRUE)</f>
        <v>0.37092654718205531</v>
      </c>
      <c r="V112" s="11">
        <f>Database[[#This Row],[C/Lb N]]*$F$14+Database[[#This Row],[C/$ N]]*$F$16+Database[[#This Row],[Pack N]]*$F$15</f>
        <v>3.2996929559272963</v>
      </c>
      <c r="W112" s="32">
        <v>0</v>
      </c>
      <c r="X112" s="32">
        <v>0</v>
      </c>
      <c r="Y112" s="32">
        <v>0</v>
      </c>
      <c r="Z112" s="32">
        <v>0.01</v>
      </c>
      <c r="AA112" s="32">
        <v>0.17</v>
      </c>
      <c r="AB112" s="32">
        <v>0.04</v>
      </c>
      <c r="AC112" s="32">
        <v>0</v>
      </c>
      <c r="AD112" s="32">
        <v>0</v>
      </c>
      <c r="AE112" s="32">
        <v>0</v>
      </c>
      <c r="AF112" s="32">
        <v>0</v>
      </c>
      <c r="AG112" s="32">
        <v>0</v>
      </c>
      <c r="AH112" s="32">
        <v>0</v>
      </c>
      <c r="AI112" s="32">
        <v>0</v>
      </c>
      <c r="AJ112" s="32">
        <v>0</v>
      </c>
    </row>
    <row r="113" spans="2:36" x14ac:dyDescent="0.2">
      <c r="B113" t="s">
        <v>209</v>
      </c>
      <c r="C113" t="s">
        <v>210</v>
      </c>
      <c r="D113" t="s">
        <v>89</v>
      </c>
      <c r="E113" s="20">
        <f>((Database[[#This Row],[Raw Score]]-MIN(Database[Raw Score]))/(MAX(Database[Raw Score])-MIN(Database[Raw Score])))*10</f>
        <v>1.6007781997185908</v>
      </c>
      <c r="F113" s="21">
        <v>0.3</v>
      </c>
      <c r="G113" s="27" t="s">
        <v>23</v>
      </c>
      <c r="H113" s="27" t="s">
        <v>28</v>
      </c>
      <c r="I113" s="22">
        <v>190</v>
      </c>
      <c r="J113" s="37">
        <v>85</v>
      </c>
      <c r="K113" s="38">
        <v>85</v>
      </c>
      <c r="L113" s="9">
        <f>IF(Database[[#This Row],[g]],Database[[#This Row],[C]]/Database[[#This Row],[Lb]],0)</f>
        <v>1013.9123564705883</v>
      </c>
      <c r="M113" s="9">
        <f>IF(Database[[#This Row],[$]], Database[[#This Row],[C]]/Database[[#This Row],[$]],0)</f>
        <v>633.33333333333337</v>
      </c>
      <c r="N113" s="25">
        <f>IF(OR(ISBLANK(Database[[#This Row],[Air]]),ISBLANK(Database[[#This Row],[Flex]])),0,VLOOKUP(Database[[#This Row],[Flex]],FlexScore[],2,FALSE)+VLOOKUP(Database[[#This Row],[Air]],AirScore[],2,FALSE))</f>
        <v>0</v>
      </c>
      <c r="O113" s="25">
        <f>Database[[#This Row],[g]]/Database[[#This Row],[g/S]]</f>
        <v>1</v>
      </c>
      <c r="P113" s="42">
        <f>IF(Database[[#This Row],[g]],Database[[#This Row],[g]]/453.59237,0)</f>
        <v>0.18739292285714593</v>
      </c>
      <c r="Q113" s="10">
        <f>Database[[#This Row],[Lb]]*16</f>
        <v>2.9982867657143348</v>
      </c>
      <c r="R113" s="9">
        <f>IF(Database[[#This Row],[g]],(Database[[#This Row],[C/S]]/Database[[#This Row],[g/S]])*Database[[#This Row],[g]],0)</f>
        <v>190</v>
      </c>
      <c r="S113" s="11">
        <f>_xlfn.NORM.DIST(Database[[#This Row],[C/Lb]],$L$127,$L$128,TRUE)</f>
        <v>8.7932408810506069E-2</v>
      </c>
      <c r="T113" s="12">
        <f>_xlfn.NORM.DIST(Database[[#This Row],[Pack]],$N$127,$N$128,TRUE)</f>
        <v>1.9382410349990265E-3</v>
      </c>
      <c r="U113" s="11">
        <f>_xlfn.NORM.DIST(Database[[#This Row],[C/$]],$M$127,$M$128,TRUE)</f>
        <v>0.88800359467530232</v>
      </c>
      <c r="V113" s="11">
        <f>Database[[#This Row],[C/Lb N]]*$F$14+Database[[#This Row],[C/$ N]]*$F$16+Database[[#This Row],[Pack N]]*$F$15</f>
        <v>3.1954817189589417</v>
      </c>
      <c r="W113" s="32">
        <v>0.09</v>
      </c>
      <c r="X113" s="32">
        <v>0.16</v>
      </c>
      <c r="Y113" s="32">
        <v>0</v>
      </c>
      <c r="Z113" s="32">
        <v>0.34</v>
      </c>
      <c r="AA113" s="32">
        <v>0.1</v>
      </c>
      <c r="AB113" s="32">
        <v>0.03</v>
      </c>
      <c r="AC113" s="32">
        <v>0</v>
      </c>
      <c r="AD113" s="32">
        <v>0.1</v>
      </c>
      <c r="AE113" s="32">
        <v>0</v>
      </c>
      <c r="AF113" s="32">
        <v>0</v>
      </c>
      <c r="AG113" s="32">
        <v>0</v>
      </c>
      <c r="AH113" s="32">
        <v>0</v>
      </c>
      <c r="AI113" s="32">
        <v>0.1</v>
      </c>
      <c r="AJ113" s="32">
        <v>0.02</v>
      </c>
    </row>
    <row r="114" spans="2:36" x14ac:dyDescent="0.2">
      <c r="B114" t="s">
        <v>118</v>
      </c>
      <c r="C114" t="s">
        <v>211</v>
      </c>
      <c r="D114" t="s">
        <v>86</v>
      </c>
      <c r="E114" s="20">
        <f>((Database[[#This Row],[Raw Score]]-MIN(Database[Raw Score]))/(MAX(Database[Raw Score])-MIN(Database[Raw Score])))*10</f>
        <v>1.5212965705909665</v>
      </c>
      <c r="F114" s="34">
        <v>4.49</v>
      </c>
      <c r="G114" s="27" t="s">
        <v>17</v>
      </c>
      <c r="H114" s="30" t="s">
        <v>28</v>
      </c>
      <c r="I114" s="40">
        <v>200</v>
      </c>
      <c r="J114" s="37">
        <f>Database[[#This Row],[g]]/3</f>
        <v>56.666666666666664</v>
      </c>
      <c r="K114" s="38">
        <v>170</v>
      </c>
      <c r="L114" s="9">
        <f>IF(Database[[#This Row],[g]],Database[[#This Row],[C]]/Database[[#This Row],[Lb]],0)</f>
        <v>1600.914247058824</v>
      </c>
      <c r="M114" s="9">
        <f>IF(Database[[#This Row],[$]], Database[[#This Row],[C]]/Database[[#This Row],[$]],0)</f>
        <v>133.630289532294</v>
      </c>
      <c r="N114" s="25">
        <f>IF(OR(ISBLANK(Database[[#This Row],[Air]]),ISBLANK(Database[[#This Row],[Flex]])),0,VLOOKUP(Database[[#This Row],[Flex]],FlexScore[],2,FALSE)+VLOOKUP(Database[[#This Row],[Air]],AirScore[],2,FALSE))</f>
        <v>4</v>
      </c>
      <c r="O114" s="25">
        <f>Database[[#This Row],[g]]/Database[[#This Row],[g/S]]</f>
        <v>3</v>
      </c>
      <c r="P114" s="42">
        <f>IF(Database[[#This Row],[g]],Database[[#This Row],[g]]/453.59237,0)</f>
        <v>0.37478584571429185</v>
      </c>
      <c r="Q114" s="10">
        <f>Database[[#This Row],[Lb]]*16</f>
        <v>5.9965735314286697</v>
      </c>
      <c r="R114" s="9">
        <f>IF(Database[[#This Row],[g]],(Database[[#This Row],[C/S]]/Database[[#This Row],[g/S]])*Database[[#This Row],[g]],0)</f>
        <v>600.00000000000011</v>
      </c>
      <c r="S114" s="11">
        <f>_xlfn.NORM.DIST(Database[[#This Row],[C/Lb]],$L$127,$L$128,TRUE)</f>
        <v>0.30938791964627249</v>
      </c>
      <c r="T114" s="12">
        <f>_xlfn.NORM.DIST(Database[[#This Row],[Pack]],$N$127,$N$128,TRUE)</f>
        <v>0.2705690307561387</v>
      </c>
      <c r="U114" s="11">
        <f>_xlfn.NORM.DIST(Database[[#This Row],[C/$]],$M$127,$M$128,TRUE)</f>
        <v>0.24773086740858224</v>
      </c>
      <c r="V114" s="11">
        <f>Database[[#This Row],[C/Lb N]]*$F$14+Database[[#This Row],[C/$ N]]*$F$16+Database[[#This Row],[Pack N]]*$F$15</f>
        <v>3.1406581816156587</v>
      </c>
      <c r="W114" s="32">
        <v>0.38</v>
      </c>
      <c r="X114" s="32">
        <v>0.35</v>
      </c>
      <c r="Y114" s="32">
        <v>0.13</v>
      </c>
      <c r="Z114" s="32">
        <v>0.31</v>
      </c>
      <c r="AA114" s="32">
        <v>0</v>
      </c>
      <c r="AB114" s="32">
        <v>0</v>
      </c>
      <c r="AC114" s="32">
        <v>0</v>
      </c>
      <c r="AD114" s="32">
        <v>0</v>
      </c>
      <c r="AE114" s="32">
        <v>0</v>
      </c>
      <c r="AF114" s="32">
        <v>0.08</v>
      </c>
      <c r="AG114" s="32">
        <v>0</v>
      </c>
      <c r="AH114" s="32">
        <v>0</v>
      </c>
      <c r="AI114" s="32">
        <v>0.06</v>
      </c>
      <c r="AJ114" s="32">
        <v>0</v>
      </c>
    </row>
    <row r="115" spans="2:36" x14ac:dyDescent="0.2">
      <c r="B115" t="s">
        <v>212</v>
      </c>
      <c r="C115" t="s">
        <v>213</v>
      </c>
      <c r="D115" t="s">
        <v>86</v>
      </c>
      <c r="E115" s="20">
        <f>((Database[[#This Row],[Raw Score]]-MIN(Database[Raw Score]))/(MAX(Database[Raw Score])-MIN(Database[Raw Score])))*10</f>
        <v>1.4914099580927143</v>
      </c>
      <c r="F115" s="21">
        <v>1.98</v>
      </c>
      <c r="G115" s="27" t="s">
        <v>17</v>
      </c>
      <c r="H115" s="27" t="s">
        <v>27</v>
      </c>
      <c r="I115" s="22">
        <v>230</v>
      </c>
      <c r="J115" s="37">
        <v>71</v>
      </c>
      <c r="K115" s="38">
        <v>71</v>
      </c>
      <c r="L115" s="9">
        <f>IF(Database[[#This Row],[g]],Database[[#This Row],[C]]/Database[[#This Row],[Lb]],0)</f>
        <v>1469.3837338028168</v>
      </c>
      <c r="M115" s="9">
        <f>IF(Database[[#This Row],[$]], Database[[#This Row],[C]]/Database[[#This Row],[$]],0)</f>
        <v>116.16161616161617</v>
      </c>
      <c r="N115" s="25">
        <f>IF(OR(ISBLANK(Database[[#This Row],[Air]]),ISBLANK(Database[[#This Row],[Flex]])),0,VLOOKUP(Database[[#This Row],[Flex]],FlexScore[],2,FALSE)+VLOOKUP(Database[[#This Row],[Air]],AirScore[],2,FALSE))</f>
        <v>5</v>
      </c>
      <c r="O115" s="25">
        <f>Database[[#This Row],[g]]/Database[[#This Row],[g/S]]</f>
        <v>1</v>
      </c>
      <c r="P115" s="42">
        <f>IF(Database[[#This Row],[g]],Database[[#This Row],[g]]/453.59237,0)</f>
        <v>0.15652820615126309</v>
      </c>
      <c r="Q115" s="10">
        <f>Database[[#This Row],[Lb]]*16</f>
        <v>2.5044512984202094</v>
      </c>
      <c r="R115" s="9">
        <f>IF(Database[[#This Row],[g]],(Database[[#This Row],[C/S]]/Database[[#This Row],[g/S]])*Database[[#This Row],[g]],0)</f>
        <v>230</v>
      </c>
      <c r="S115" s="11">
        <f>_xlfn.NORM.DIST(Database[[#This Row],[C/Lb]],$L$127,$L$128,TRUE)</f>
        <v>0.24528767995237788</v>
      </c>
      <c r="T115" s="12">
        <f>_xlfn.NORM.DIST(Database[[#This Row],[Pack]],$N$127,$N$128,TRUE)</f>
        <v>0.48330687382898091</v>
      </c>
      <c r="U115" s="11">
        <f>_xlfn.NORM.DIST(Database[[#This Row],[C/$]],$M$127,$M$128,TRUE)</f>
        <v>0.2272345519328986</v>
      </c>
      <c r="V115" s="11">
        <f>Database[[#This Row],[C/Lb N]]*$F$14+Database[[#This Row],[C/$ N]]*$F$16+Database[[#This Row],[Pack N]]*$F$15</f>
        <v>3.1200434831709249</v>
      </c>
      <c r="W115" s="32">
        <v>0.27</v>
      </c>
      <c r="X115" s="32">
        <v>0.35</v>
      </c>
      <c r="Y115" s="32">
        <v>0.17</v>
      </c>
      <c r="Z115" s="32">
        <v>0.36</v>
      </c>
      <c r="AA115" s="32">
        <v>0.01</v>
      </c>
      <c r="AB115" s="32">
        <v>0</v>
      </c>
      <c r="AC115" s="32">
        <v>0.02</v>
      </c>
      <c r="AD115" s="32">
        <v>0.18</v>
      </c>
      <c r="AE115" s="32">
        <v>0</v>
      </c>
      <c r="AF115" s="32">
        <v>0</v>
      </c>
      <c r="AG115" s="32">
        <v>0</v>
      </c>
      <c r="AH115" s="32">
        <v>0</v>
      </c>
      <c r="AI115" s="32">
        <v>0.02</v>
      </c>
      <c r="AJ115" s="32">
        <v>0.02</v>
      </c>
    </row>
    <row r="116" spans="2:36" x14ac:dyDescent="0.2">
      <c r="B116" t="s">
        <v>137</v>
      </c>
      <c r="C116" t="s">
        <v>214</v>
      </c>
      <c r="D116" t="s">
        <v>80</v>
      </c>
      <c r="E116" s="20">
        <f>((Database[[#This Row],[Raw Score]]-MIN(Database[Raw Score]))/(MAX(Database[Raw Score])-MIN(Database[Raw Score])))*10</f>
        <v>1.2526672377217078</v>
      </c>
      <c r="F116" s="34">
        <v>9.99</v>
      </c>
      <c r="G116" s="27" t="s">
        <v>17</v>
      </c>
      <c r="H116" s="30" t="s">
        <v>27</v>
      </c>
      <c r="I116" s="40">
        <v>110</v>
      </c>
      <c r="J116" s="37">
        <v>34</v>
      </c>
      <c r="K116" s="38">
        <f>Database[[#This Row],[g/S]]*6</f>
        <v>204</v>
      </c>
      <c r="L116" s="9">
        <f>IF(Database[[#This Row],[g]],Database[[#This Row],[C]]/Database[[#This Row],[Lb]],0)</f>
        <v>1467.5047264705884</v>
      </c>
      <c r="M116" s="9">
        <f>IF(Database[[#This Row],[$]], Database[[#This Row],[C]]/Database[[#This Row],[$]],0)</f>
        <v>66.066066066066071</v>
      </c>
      <c r="N116" s="25">
        <f>IF(OR(ISBLANK(Database[[#This Row],[Air]]),ISBLANK(Database[[#This Row],[Flex]])),0,VLOOKUP(Database[[#This Row],[Flex]],FlexScore[],2,FALSE)+VLOOKUP(Database[[#This Row],[Air]],AirScore[],2,FALSE))</f>
        <v>5</v>
      </c>
      <c r="O116" s="25">
        <f>Database[[#This Row],[g]]/Database[[#This Row],[g/S]]</f>
        <v>6</v>
      </c>
      <c r="P116" s="42">
        <f>IF(Database[[#This Row],[g]],Database[[#This Row],[g]]/453.59237,0)</f>
        <v>0.44974301485715024</v>
      </c>
      <c r="Q116" s="10">
        <f>Database[[#This Row],[Lb]]*16</f>
        <v>7.1958882377144038</v>
      </c>
      <c r="R116" s="9">
        <f>IF(Database[[#This Row],[g]],(Database[[#This Row],[C/S]]/Database[[#This Row],[g/S]])*Database[[#This Row],[g]],0)</f>
        <v>660</v>
      </c>
      <c r="S116" s="11">
        <f>_xlfn.NORM.DIST(Database[[#This Row],[C/Lb]],$L$127,$L$128,TRUE)</f>
        <v>0.24442655600116692</v>
      </c>
      <c r="T116" s="12">
        <f>_xlfn.NORM.DIST(Database[[#This Row],[Pack]],$N$127,$N$128,TRUE)</f>
        <v>0.48330687382898091</v>
      </c>
      <c r="U116" s="11">
        <f>_xlfn.NORM.DIST(Database[[#This Row],[C/$]],$M$127,$M$128,TRUE)</f>
        <v>0.174064784370631</v>
      </c>
      <c r="V116" s="11">
        <f>Database[[#This Row],[C/Lb N]]*$F$14+Database[[#This Row],[C/$ N]]*$F$16+Database[[#This Row],[Pack N]]*$F$15</f>
        <v>2.9553674367768563</v>
      </c>
      <c r="W116" s="32">
        <v>0</v>
      </c>
      <c r="X116" s="32">
        <v>0</v>
      </c>
      <c r="Y116" s="32">
        <v>0</v>
      </c>
      <c r="Z116" s="32">
        <v>0.02</v>
      </c>
      <c r="AA116" s="32">
        <v>0.1</v>
      </c>
      <c r="AB116" s="32">
        <v>0</v>
      </c>
      <c r="AC116" s="32">
        <v>0.49</v>
      </c>
      <c r="AD116" s="32">
        <v>0</v>
      </c>
      <c r="AE116" s="32">
        <v>0</v>
      </c>
      <c r="AF116" s="32">
        <v>0</v>
      </c>
      <c r="AG116" s="32">
        <v>0</v>
      </c>
      <c r="AH116" s="32">
        <v>0</v>
      </c>
      <c r="AI116" s="32">
        <v>0</v>
      </c>
      <c r="AJ116" s="32">
        <v>0</v>
      </c>
    </row>
    <row r="117" spans="2:36" x14ac:dyDescent="0.2">
      <c r="B117" t="s">
        <v>215</v>
      </c>
      <c r="C117" t="s">
        <v>216</v>
      </c>
      <c r="D117" t="s">
        <v>79</v>
      </c>
      <c r="E117" s="20">
        <f>((Database[[#This Row],[Raw Score]]-MIN(Database[Raw Score]))/(MAX(Database[Raw Score])-MIN(Database[Raw Score])))*10</f>
        <v>1.2396611628740619</v>
      </c>
      <c r="F117" s="21">
        <v>4.99</v>
      </c>
      <c r="G117" s="27" t="s">
        <v>20</v>
      </c>
      <c r="H117" s="27" t="s">
        <v>26</v>
      </c>
      <c r="I117" s="22">
        <v>100</v>
      </c>
      <c r="J117" s="37">
        <v>28</v>
      </c>
      <c r="K117" s="38">
        <v>76.5</v>
      </c>
      <c r="L117" s="9">
        <f>IF(Database[[#This Row],[g]],Database[[#This Row],[C]]/Database[[#This Row],[Lb]],0)</f>
        <v>1619.9727500000001</v>
      </c>
      <c r="M117" s="9">
        <f>IF(Database[[#This Row],[$]], Database[[#This Row],[C]]/Database[[#This Row],[$]],0)</f>
        <v>54.75236186659032</v>
      </c>
      <c r="N117" s="25">
        <f>IF(OR(ISBLANK(Database[[#This Row],[Air]]),ISBLANK(Database[[#This Row],[Flex]])),0,VLOOKUP(Database[[#This Row],[Flex]],FlexScore[],2,FALSE)+VLOOKUP(Database[[#This Row],[Air]],AirScore[],2,FALSE))</f>
        <v>4</v>
      </c>
      <c r="O117" s="25">
        <f>Database[[#This Row],[g]]/Database[[#This Row],[g/S]]</f>
        <v>2.7321428571428572</v>
      </c>
      <c r="P117" s="42">
        <f>IF(Database[[#This Row],[g]],Database[[#This Row],[g]]/453.59237,0)</f>
        <v>0.16865363057143135</v>
      </c>
      <c r="Q117" s="10">
        <f>Database[[#This Row],[Lb]]*16</f>
        <v>2.6984580891429015</v>
      </c>
      <c r="R117" s="9">
        <f>IF(Database[[#This Row],[g]],(Database[[#This Row],[C/S]]/Database[[#This Row],[g/S]])*Database[[#This Row],[g]],0)</f>
        <v>273.21428571428572</v>
      </c>
      <c r="S117" s="11">
        <f>_xlfn.NORM.DIST(Database[[#This Row],[C/Lb]],$L$127,$L$128,TRUE)</f>
        <v>0.31925129079911246</v>
      </c>
      <c r="T117" s="12">
        <f>_xlfn.NORM.DIST(Database[[#This Row],[Pack]],$N$127,$N$128,TRUE)</f>
        <v>0.2705690307561387</v>
      </c>
      <c r="U117" s="11">
        <f>_xlfn.NORM.DIST(Database[[#This Row],[C/$]],$M$127,$M$128,TRUE)</f>
        <v>0.16325017100630682</v>
      </c>
      <c r="V117" s="11">
        <f>Database[[#This Row],[C/Lb N]]*$F$14+Database[[#This Row],[C/$ N]]*$F$16+Database[[#This Row],[Pack N]]*$F$15</f>
        <v>2.9463963193258724</v>
      </c>
      <c r="W117" s="32">
        <v>0</v>
      </c>
      <c r="X117" s="32">
        <v>0</v>
      </c>
      <c r="Y117" s="32">
        <v>0</v>
      </c>
      <c r="Z117" s="32">
        <v>0</v>
      </c>
      <c r="AA117" s="32">
        <v>0.09</v>
      </c>
      <c r="AB117" s="32">
        <v>0.1</v>
      </c>
      <c r="AC117" s="32">
        <v>0</v>
      </c>
      <c r="AD117" s="32">
        <v>0.02</v>
      </c>
      <c r="AE117" s="32">
        <v>0</v>
      </c>
      <c r="AF117" s="32">
        <v>0</v>
      </c>
      <c r="AG117" s="32">
        <v>0</v>
      </c>
      <c r="AH117" s="32">
        <v>0</v>
      </c>
      <c r="AI117" s="32">
        <v>0</v>
      </c>
      <c r="AJ117" s="32">
        <v>0.04</v>
      </c>
    </row>
    <row r="118" spans="2:36" x14ac:dyDescent="0.2">
      <c r="B118" t="s">
        <v>204</v>
      </c>
      <c r="C118" t="s">
        <v>217</v>
      </c>
      <c r="D118" t="s">
        <v>79</v>
      </c>
      <c r="E118" s="20">
        <f>((Database[[#This Row],[Raw Score]]-MIN(Database[Raw Score]))/(MAX(Database[Raw Score])-MIN(Database[Raw Score])))*10</f>
        <v>1.0356515172001517</v>
      </c>
      <c r="F118" s="21">
        <v>6.48</v>
      </c>
      <c r="G118" s="27" t="s">
        <v>20</v>
      </c>
      <c r="H118" s="27" t="s">
        <v>19</v>
      </c>
      <c r="I118" s="39">
        <v>90</v>
      </c>
      <c r="J118" s="37">
        <f>425/11</f>
        <v>38.636363636363633</v>
      </c>
      <c r="K118" s="38">
        <v>425</v>
      </c>
      <c r="L118" s="9">
        <f>IF(Database[[#This Row],[g]],Database[[#This Row],[C]]/Database[[#This Row],[Lb]],0)</f>
        <v>1056.6034030588237</v>
      </c>
      <c r="M118" s="9">
        <f>IF(Database[[#This Row],[$]], Database[[#This Row],[C]]/Database[[#This Row],[$]],0)</f>
        <v>152.77777777777777</v>
      </c>
      <c r="N118" s="25">
        <f>IF(OR(ISBLANK(Database[[#This Row],[Air]]),ISBLANK(Database[[#This Row],[Flex]])),0,VLOOKUP(Database[[#This Row],[Flex]],FlexScore[],2,FALSE)+VLOOKUP(Database[[#This Row],[Air]],AirScore[],2,FALSE))</f>
        <v>6</v>
      </c>
      <c r="O118" s="25">
        <f>Database[[#This Row],[g]]/Database[[#This Row],[g/S]]</f>
        <v>11.000000000000002</v>
      </c>
      <c r="P118" s="42">
        <f>IF(Database[[#This Row],[g]],Database[[#This Row],[g]]/453.59237,0)</f>
        <v>0.93696461428572964</v>
      </c>
      <c r="Q118" s="10">
        <f>Database[[#This Row],[Lb]]*16</f>
        <v>14.991433828571674</v>
      </c>
      <c r="R118" s="9">
        <f>IF(Database[[#This Row],[g]],(Database[[#This Row],[C/S]]/Database[[#This Row],[g/S]])*Database[[#This Row],[g]],0)</f>
        <v>990.00000000000011</v>
      </c>
      <c r="S118" s="11">
        <f>_xlfn.NORM.DIST(Database[[#This Row],[C/Lb]],$L$127,$L$128,TRUE)</f>
        <v>9.8292531664784868E-2</v>
      </c>
      <c r="T118" s="12">
        <f>_xlfn.NORM.DIST(Database[[#This Row],[Pack]],$N$127,$N$128,TRUE)</f>
        <v>0.70103567958788682</v>
      </c>
      <c r="U118" s="11">
        <f>_xlfn.NORM.DIST(Database[[#This Row],[C/$]],$M$127,$M$128,TRUE)</f>
        <v>0.27128377853012386</v>
      </c>
      <c r="V118" s="11">
        <f>Database[[#This Row],[C/Lb N]]*$F$14+Database[[#This Row],[C/$ N]]*$F$16+Database[[#This Row],[Pack N]]*$F$15</f>
        <v>2.8056778847548545</v>
      </c>
      <c r="W118" s="32">
        <v>0</v>
      </c>
      <c r="X118" s="32">
        <v>0</v>
      </c>
      <c r="Y118" s="32">
        <v>0</v>
      </c>
      <c r="Z118" s="32">
        <v>0.01</v>
      </c>
      <c r="AA118" s="32">
        <v>0.09</v>
      </c>
      <c r="AB118" s="32">
        <v>0.11</v>
      </c>
      <c r="AC118" s="32">
        <v>0</v>
      </c>
      <c r="AD118" s="32">
        <v>0.02</v>
      </c>
      <c r="AE118" s="32">
        <v>0</v>
      </c>
      <c r="AF118" s="32">
        <v>0</v>
      </c>
      <c r="AG118" s="32">
        <v>0</v>
      </c>
      <c r="AH118" s="32">
        <v>0.02</v>
      </c>
      <c r="AI118" s="32">
        <v>0.02</v>
      </c>
      <c r="AJ118" s="32">
        <v>0.1</v>
      </c>
    </row>
    <row r="119" spans="2:36" x14ac:dyDescent="0.2">
      <c r="B119" t="s">
        <v>68</v>
      </c>
      <c r="C119" t="s">
        <v>218</v>
      </c>
      <c r="D119" t="s">
        <v>69</v>
      </c>
      <c r="E119" s="20">
        <f>((Database[[#This Row],[Raw Score]]-MIN(Database[Raw Score]))/(MAX(Database[Raw Score])-MIN(Database[Raw Score])))*10</f>
        <v>0.9051387029948279</v>
      </c>
      <c r="F119" s="34">
        <v>4.1900000000000004</v>
      </c>
      <c r="G119" s="27" t="s">
        <v>17</v>
      </c>
      <c r="H119" s="30" t="s">
        <v>28</v>
      </c>
      <c r="I119" s="40">
        <v>60</v>
      </c>
      <c r="J119" s="37">
        <v>21</v>
      </c>
      <c r="K119" s="38">
        <v>340</v>
      </c>
      <c r="L119" s="9">
        <f>IF(Database[[#This Row],[g]],Database[[#This Row],[C]]/Database[[#This Row],[Lb]],0)</f>
        <v>1295.9782000000002</v>
      </c>
      <c r="M119" s="9">
        <f>IF(Database[[#This Row],[$]], Database[[#This Row],[C]]/Database[[#This Row],[$]],0)</f>
        <v>231.84452778724852</v>
      </c>
      <c r="N119" s="25">
        <f>IF(OR(ISBLANK(Database[[#This Row],[Air]]),ISBLANK(Database[[#This Row],[Flex]])),0,VLOOKUP(Database[[#This Row],[Flex]],FlexScore[],2,FALSE)+VLOOKUP(Database[[#This Row],[Air]],AirScore[],2,FALSE))</f>
        <v>4</v>
      </c>
      <c r="O119" s="25">
        <f>Database[[#This Row],[g]]/Database[[#This Row],[g/S]]</f>
        <v>16.19047619047619</v>
      </c>
      <c r="P119" s="42">
        <f>IF(Database[[#This Row],[g]],Database[[#This Row],[g]]/453.59237,0)</f>
        <v>0.74957169142858371</v>
      </c>
      <c r="Q119" s="10">
        <f>Database[[#This Row],[Lb]]*16</f>
        <v>11.993147062857339</v>
      </c>
      <c r="R119" s="9">
        <f>IF(Database[[#This Row],[g]],(Database[[#This Row],[C/S]]/Database[[#This Row],[g/S]])*Database[[#This Row],[g]],0)</f>
        <v>971.42857142857144</v>
      </c>
      <c r="S119" s="11">
        <f>_xlfn.NORM.DIST(Database[[#This Row],[C/Lb]],$L$127,$L$128,TRUE)</f>
        <v>0.17302789401630606</v>
      </c>
      <c r="T119" s="12">
        <f>_xlfn.NORM.DIST(Database[[#This Row],[Pack]],$N$127,$N$128,TRUE)</f>
        <v>0.2705690307561387</v>
      </c>
      <c r="U119" s="11">
        <f>_xlfn.NORM.DIST(Database[[#This Row],[C/$]],$M$127,$M$128,TRUE)</f>
        <v>0.37878315537831841</v>
      </c>
      <c r="V119" s="11">
        <f>Database[[#This Row],[C/Lb N]]*$F$14+Database[[#This Row],[C/$ N]]*$F$16+Database[[#This Row],[Pack N]]*$F$15</f>
        <v>2.7156548917450687</v>
      </c>
      <c r="W119" s="32">
        <v>0</v>
      </c>
      <c r="X119" s="32">
        <v>0</v>
      </c>
      <c r="Y119" s="32">
        <v>0</v>
      </c>
      <c r="Z119" s="32">
        <v>0</v>
      </c>
      <c r="AA119" s="32">
        <v>0.06</v>
      </c>
      <c r="AB119" s="32">
        <v>0</v>
      </c>
      <c r="AC119" s="32">
        <v>0.34</v>
      </c>
      <c r="AD119" s="32">
        <v>0</v>
      </c>
      <c r="AE119" s="32">
        <v>0</v>
      </c>
      <c r="AF119" s="32">
        <v>0</v>
      </c>
      <c r="AG119" s="32">
        <v>0</v>
      </c>
      <c r="AH119" s="32">
        <v>0</v>
      </c>
      <c r="AI119" s="32">
        <v>0</v>
      </c>
      <c r="AJ119" s="32">
        <v>0</v>
      </c>
    </row>
    <row r="120" spans="2:36" x14ac:dyDescent="0.2">
      <c r="B120" t="s">
        <v>219</v>
      </c>
      <c r="C120" t="s">
        <v>220</v>
      </c>
      <c r="D120" t="s">
        <v>83</v>
      </c>
      <c r="E120" s="20">
        <f>((Database[[#This Row],[Raw Score]]-MIN(Database[Raw Score]))/(MAX(Database[Raw Score])-MIN(Database[Raw Score])))*10</f>
        <v>0.70728795130289113</v>
      </c>
      <c r="F120" s="34">
        <v>4.99</v>
      </c>
      <c r="G120" s="27" t="s">
        <v>23</v>
      </c>
      <c r="H120" s="30" t="s">
        <v>28</v>
      </c>
      <c r="I120" s="40">
        <v>270</v>
      </c>
      <c r="J120" s="37">
        <v>95</v>
      </c>
      <c r="K120" s="38">
        <f>Database[[#This Row],[g/S]]*6</f>
        <v>570</v>
      </c>
      <c r="L120" s="9">
        <f>IF(Database[[#This Row],[g]],Database[[#This Row],[C]]/Database[[#This Row],[Lb]],0)</f>
        <v>1289.1572621052633</v>
      </c>
      <c r="M120" s="9">
        <f>IF(Database[[#This Row],[$]], Database[[#This Row],[C]]/Database[[#This Row],[$]],0)</f>
        <v>324.64929859719439</v>
      </c>
      <c r="N120" s="25">
        <f>IF(OR(ISBLANK(Database[[#This Row],[Air]]),ISBLANK(Database[[#This Row],[Flex]])),0,VLOOKUP(Database[[#This Row],[Flex]],FlexScore[],2,FALSE)+VLOOKUP(Database[[#This Row],[Air]],AirScore[],2,FALSE))</f>
        <v>0</v>
      </c>
      <c r="O120" s="25">
        <f>Database[[#This Row],[g]]/Database[[#This Row],[g/S]]</f>
        <v>6</v>
      </c>
      <c r="P120" s="42">
        <f>IF(Database[[#This Row],[g]],Database[[#This Row],[g]]/453.59237,0)</f>
        <v>1.2566348944538022</v>
      </c>
      <c r="Q120" s="10">
        <f>Database[[#This Row],[Lb]]*16</f>
        <v>20.106158311260835</v>
      </c>
      <c r="R120" s="9">
        <f>IF(Database[[#This Row],[g]],(Database[[#This Row],[C/S]]/Database[[#This Row],[g/S]])*Database[[#This Row],[g]],0)</f>
        <v>1620</v>
      </c>
      <c r="S120" s="11">
        <f>_xlfn.NORM.DIST(Database[[#This Row],[C/Lb]],$L$127,$L$128,TRUE)</f>
        <v>0.17049419257308254</v>
      </c>
      <c r="T120" s="12">
        <f>_xlfn.NORM.DIST(Database[[#This Row],[Pack]],$N$127,$N$128,TRUE)</f>
        <v>1.9382410349990265E-3</v>
      </c>
      <c r="U120" s="11">
        <f>_xlfn.NORM.DIST(Database[[#This Row],[C/$]],$M$127,$M$128,TRUE)</f>
        <v>0.51744766691999389</v>
      </c>
      <c r="V120" s="11">
        <f>Database[[#This Row],[C/Lb N]]*$F$14+Database[[#This Row],[C/$ N]]*$F$16+Database[[#This Row],[Pack N]]*$F$15</f>
        <v>2.5791846382684751</v>
      </c>
      <c r="W120" s="32">
        <v>0.02</v>
      </c>
      <c r="X120" s="32">
        <v>0.03</v>
      </c>
      <c r="Y120" s="32">
        <v>0</v>
      </c>
      <c r="Z120" s="32">
        <v>0.2</v>
      </c>
      <c r="AA120" s="32">
        <v>0.19</v>
      </c>
      <c r="AB120" s="32">
        <v>7.0000000000000007E-2</v>
      </c>
      <c r="AC120" s="32">
        <v>0.1</v>
      </c>
      <c r="AD120" s="32">
        <v>0.2</v>
      </c>
      <c r="AE120" s="32">
        <v>0</v>
      </c>
      <c r="AF120" s="32">
        <v>0</v>
      </c>
      <c r="AG120" s="32">
        <v>0</v>
      </c>
      <c r="AH120" s="32">
        <v>0</v>
      </c>
      <c r="AI120" s="32">
        <v>0.15</v>
      </c>
      <c r="AJ120" s="32">
        <v>0</v>
      </c>
    </row>
    <row r="121" spans="2:36" x14ac:dyDescent="0.2">
      <c r="B121" t="s">
        <v>68</v>
      </c>
      <c r="C121" t="s">
        <v>221</v>
      </c>
      <c r="D121" t="s">
        <v>73</v>
      </c>
      <c r="E121" s="20">
        <f>((Database[[#This Row],[Raw Score]]-MIN(Database[Raw Score]))/(MAX(Database[Raw Score])-MIN(Database[Raw Score])))*10</f>
        <v>0.4657834816798524</v>
      </c>
      <c r="F121" s="21">
        <v>6.98</v>
      </c>
      <c r="G121" s="27" t="s">
        <v>17</v>
      </c>
      <c r="H121" s="27" t="s">
        <v>16</v>
      </c>
      <c r="I121" s="39">
        <v>80</v>
      </c>
      <c r="J121" s="37">
        <f>272/3</f>
        <v>90.666666666666671</v>
      </c>
      <c r="K121" s="38">
        <v>272</v>
      </c>
      <c r="L121" s="9">
        <f>IF(Database[[#This Row],[g]],Database[[#This Row],[C]]/Database[[#This Row],[Lb]],0)</f>
        <v>400.22856176470594</v>
      </c>
      <c r="M121" s="9">
        <f>IF(Database[[#This Row],[$]], Database[[#This Row],[C]]/Database[[#This Row],[$]],0)</f>
        <v>34.383954154727789</v>
      </c>
      <c r="N121" s="25">
        <f>IF(OR(ISBLANK(Database[[#This Row],[Air]]),ISBLANK(Database[[#This Row],[Flex]])),0,VLOOKUP(Database[[#This Row],[Flex]],FlexScore[],2,FALSE)+VLOOKUP(Database[[#This Row],[Air]],AirScore[],2,FALSE))</f>
        <v>8</v>
      </c>
      <c r="O121" s="25">
        <f>Database[[#This Row],[g]]/Database[[#This Row],[g/S]]</f>
        <v>3</v>
      </c>
      <c r="P121" s="42">
        <f>IF(Database[[#This Row],[g]],Database[[#This Row],[g]]/453.59237,0)</f>
        <v>0.59965735314286694</v>
      </c>
      <c r="Q121" s="10">
        <f>Database[[#This Row],[Lb]]*16</f>
        <v>9.5945176502858711</v>
      </c>
      <c r="R121" s="9">
        <f>IF(Database[[#This Row],[g]],(Database[[#This Row],[C/S]]/Database[[#This Row],[g/S]])*Database[[#This Row],[g]],0)</f>
        <v>240</v>
      </c>
      <c r="S121" s="11">
        <f>_xlfn.NORM.DIST(Database[[#This Row],[C/Lb]],$L$127,$L$128,TRUE)</f>
        <v>1.2271569887110487E-2</v>
      </c>
      <c r="T121" s="12">
        <f>_xlfn.NORM.DIST(Database[[#This Row],[Pack]],$N$127,$N$128,TRUE)</f>
        <v>0.95212895676000608</v>
      </c>
      <c r="U121" s="11">
        <f>_xlfn.NORM.DIST(Database[[#This Row],[C/$]],$M$127,$M$128,TRUE)</f>
        <v>0.14490543494381791</v>
      </c>
      <c r="V121" s="11">
        <f>Database[[#This Row],[C/Lb N]]*$F$14+Database[[#This Row],[C/$ N]]*$F$16+Database[[#This Row],[Pack N]]*$F$15</f>
        <v>2.4126036376741289</v>
      </c>
      <c r="W121" s="32">
        <v>0</v>
      </c>
      <c r="X121" s="32">
        <v>0</v>
      </c>
      <c r="Y121" s="32">
        <v>0.02</v>
      </c>
      <c r="Z121" s="32">
        <v>0.05</v>
      </c>
      <c r="AA121" s="32">
        <v>0.04</v>
      </c>
      <c r="AB121" s="32">
        <v>0</v>
      </c>
      <c r="AC121" s="32">
        <v>0</v>
      </c>
      <c r="AD121" s="32">
        <v>0.16</v>
      </c>
      <c r="AE121" s="32">
        <v>0.15</v>
      </c>
      <c r="AF121" s="32">
        <v>0</v>
      </c>
      <c r="AG121" s="32">
        <v>0.2</v>
      </c>
      <c r="AH121" s="32">
        <v>0.2</v>
      </c>
      <c r="AI121" s="32">
        <v>0</v>
      </c>
      <c r="AJ121" s="32">
        <v>0.08</v>
      </c>
    </row>
    <row r="122" spans="2:36" x14ac:dyDescent="0.2">
      <c r="B122" t="s">
        <v>222</v>
      </c>
      <c r="C122" t="s">
        <v>223</v>
      </c>
      <c r="D122" t="s">
        <v>86</v>
      </c>
      <c r="E122" s="20">
        <f>((Database[[#This Row],[Raw Score]]-MIN(Database[Raw Score]))/(MAX(Database[Raw Score])-MIN(Database[Raw Score])))*10</f>
        <v>0.31599475086042195</v>
      </c>
      <c r="F122" s="21">
        <v>1.58</v>
      </c>
      <c r="G122" s="27" t="s">
        <v>17</v>
      </c>
      <c r="H122" s="27" t="s">
        <v>25</v>
      </c>
      <c r="I122" s="39">
        <v>110</v>
      </c>
      <c r="J122" s="37">
        <v>74</v>
      </c>
      <c r="K122" s="38">
        <v>74</v>
      </c>
      <c r="L122" s="9">
        <f>IF(Database[[#This Row],[g]],Database[[#This Row],[C]]/Database[[#This Row],[Lb]],0)</f>
        <v>674.25892837837841</v>
      </c>
      <c r="M122" s="9">
        <f>IF(Database[[#This Row],[$]], Database[[#This Row],[C]]/Database[[#This Row],[$]],0)</f>
        <v>69.620253164556956</v>
      </c>
      <c r="N122" s="25">
        <f>IF(OR(ISBLANK(Database[[#This Row],[Air]]),ISBLANK(Database[[#This Row],[Flex]])),0,VLOOKUP(Database[[#This Row],[Flex]],FlexScore[],2,FALSE)+VLOOKUP(Database[[#This Row],[Air]],AirScore[],2,FALSE))</f>
        <v>6.5</v>
      </c>
      <c r="O122" s="25">
        <f>Database[[#This Row],[g]]/Database[[#This Row],[g/S]]</f>
        <v>1</v>
      </c>
      <c r="P122" s="42">
        <f>IF(Database[[#This Row],[g]],Database[[#This Row],[g]]/453.59237,0)</f>
        <v>0.16314207401680941</v>
      </c>
      <c r="Q122" s="10">
        <f>Database[[#This Row],[Lb]]*16</f>
        <v>2.6102731842689506</v>
      </c>
      <c r="R122" s="9">
        <f>IF(Database[[#This Row],[g]],(Database[[#This Row],[C/S]]/Database[[#This Row],[g/S]])*Database[[#This Row],[g]],0)</f>
        <v>110</v>
      </c>
      <c r="S122" s="11">
        <f>_xlfn.NORM.DIST(Database[[#This Row],[C/Lb]],$L$127,$L$128,TRUE)</f>
        <v>3.2235666599728575E-2</v>
      </c>
      <c r="T122" s="12">
        <f>_xlfn.NORM.DIST(Database[[#This Row],[Pack]],$N$127,$N$128,TRUE)</f>
        <v>0.7916042392722078</v>
      </c>
      <c r="U122" s="11">
        <f>_xlfn.NORM.DIST(Database[[#This Row],[C/$]],$M$127,$M$128,TRUE)</f>
        <v>0.17755411340971186</v>
      </c>
      <c r="V122" s="11">
        <f>Database[[#This Row],[C/Lb N]]*$F$14+Database[[#This Row],[C/$ N]]*$F$16+Database[[#This Row],[Pack N]]*$F$15</f>
        <v>2.3092848183719226</v>
      </c>
      <c r="W122" s="32">
        <v>0.05</v>
      </c>
      <c r="X122" s="32">
        <v>0.02</v>
      </c>
      <c r="Y122" s="32">
        <v>0.12</v>
      </c>
      <c r="Z122" s="32">
        <v>0.15</v>
      </c>
      <c r="AA122" s="32">
        <v>0</v>
      </c>
      <c r="AB122" s="32">
        <v>0</v>
      </c>
      <c r="AC122" s="32">
        <v>0</v>
      </c>
      <c r="AD122" s="32">
        <v>0.16</v>
      </c>
      <c r="AE122" s="32">
        <v>0</v>
      </c>
      <c r="AF122" s="32">
        <v>0</v>
      </c>
      <c r="AG122" s="32">
        <v>0.06</v>
      </c>
      <c r="AH122" s="32">
        <v>0</v>
      </c>
      <c r="AI122" s="32">
        <v>0.04</v>
      </c>
      <c r="AJ122" s="32">
        <v>0.04</v>
      </c>
    </row>
    <row r="123" spans="2:36" x14ac:dyDescent="0.2">
      <c r="B123" t="s">
        <v>127</v>
      </c>
      <c r="C123" t="s">
        <v>211</v>
      </c>
      <c r="D123" t="s">
        <v>86</v>
      </c>
      <c r="E123" s="20">
        <f>((Database[[#This Row],[Raw Score]]-MIN(Database[Raw Score]))/(MAX(Database[Raw Score])-MIN(Database[Raw Score])))*10</f>
        <v>0.31128940305566055</v>
      </c>
      <c r="F123" s="21">
        <v>6.99</v>
      </c>
      <c r="G123" s="27" t="s">
        <v>17</v>
      </c>
      <c r="H123" s="27" t="s">
        <v>28</v>
      </c>
      <c r="I123" s="39">
        <v>160</v>
      </c>
      <c r="J123" s="37">
        <f>283/5</f>
        <v>56.6</v>
      </c>
      <c r="K123" s="38">
        <v>340</v>
      </c>
      <c r="L123" s="9">
        <f>IF(Database[[#This Row],[g]],Database[[#This Row],[C]]/Database[[#This Row],[Lb]],0)</f>
        <v>1282.2399151943464</v>
      </c>
      <c r="M123" s="9">
        <f>IF(Database[[#This Row],[$]], Database[[#This Row],[C]]/Database[[#This Row],[$]],0)</f>
        <v>137.5008214663047</v>
      </c>
      <c r="N123" s="25">
        <f>IF(OR(ISBLANK(Database[[#This Row],[Air]]),ISBLANK(Database[[#This Row],[Flex]])),0,VLOOKUP(Database[[#This Row],[Flex]],FlexScore[],2,FALSE)+VLOOKUP(Database[[#This Row],[Air]],AirScore[],2,FALSE))</f>
        <v>4</v>
      </c>
      <c r="O123" s="25">
        <f>Database[[#This Row],[g]]/Database[[#This Row],[g/S]]</f>
        <v>6.0070671378091873</v>
      </c>
      <c r="P123" s="42">
        <f>IF(Database[[#This Row],[g]],Database[[#This Row],[g]]/453.59237,0)</f>
        <v>0.74957169142858371</v>
      </c>
      <c r="Q123" s="10">
        <f>Database[[#This Row],[Lb]]*16</f>
        <v>11.993147062857339</v>
      </c>
      <c r="R123" s="9">
        <f>IF(Database[[#This Row],[g]],(Database[[#This Row],[C/S]]/Database[[#This Row],[g/S]])*Database[[#This Row],[g]],0)</f>
        <v>961.13074204946997</v>
      </c>
      <c r="S123" s="11">
        <f>_xlfn.NORM.DIST(Database[[#This Row],[C/Lb]],$L$127,$L$128,TRUE)</f>
        <v>0.1679490724412146</v>
      </c>
      <c r="T123" s="12">
        <f>_xlfn.NORM.DIST(Database[[#This Row],[Pack]],$N$127,$N$128,TRUE)</f>
        <v>0.2705690307561387</v>
      </c>
      <c r="U123" s="11">
        <f>_xlfn.NORM.DIST(Database[[#This Row],[C/$]],$M$127,$M$128,TRUE)</f>
        <v>0.25240224813710443</v>
      </c>
      <c r="V123" s="11">
        <f>Database[[#This Row],[C/Lb N]]*$F$14+Database[[#This Row],[C/$ N]]*$F$16+Database[[#This Row],[Pack N]]*$F$15</f>
        <v>2.3060392405708781</v>
      </c>
      <c r="W123" s="32">
        <v>0.17</v>
      </c>
      <c r="X123" s="32">
        <v>0.25</v>
      </c>
      <c r="Y123" s="32">
        <v>0.13</v>
      </c>
      <c r="Z123" s="32">
        <v>0.24</v>
      </c>
      <c r="AA123" s="32">
        <v>0</v>
      </c>
      <c r="AB123" s="32">
        <v>0</v>
      </c>
      <c r="AC123" s="32">
        <v>0</v>
      </c>
      <c r="AD123" s="32">
        <v>0</v>
      </c>
      <c r="AE123" s="32">
        <v>0</v>
      </c>
      <c r="AF123" s="32">
        <v>0</v>
      </c>
      <c r="AG123" s="32">
        <v>0</v>
      </c>
      <c r="AH123" s="32">
        <v>0.02</v>
      </c>
      <c r="AI123" s="32">
        <v>0.06</v>
      </c>
      <c r="AJ123" s="32">
        <v>0.04</v>
      </c>
    </row>
    <row r="124" spans="2:36" x14ac:dyDescent="0.2">
      <c r="B124" t="s">
        <v>68</v>
      </c>
      <c r="C124" t="s">
        <v>224</v>
      </c>
      <c r="D124" t="s">
        <v>69</v>
      </c>
      <c r="E124" s="20">
        <f>((Database[[#This Row],[Raw Score]]-MIN(Database[Raw Score]))/(MAX(Database[Raw Score])-MIN(Database[Raw Score])))*10</f>
        <v>0.25863881730847327</v>
      </c>
      <c r="F124" s="29">
        <v>0</v>
      </c>
      <c r="G124" s="30" t="s">
        <v>17</v>
      </c>
      <c r="H124" s="30" t="s">
        <v>16</v>
      </c>
      <c r="I124" s="40">
        <v>0</v>
      </c>
      <c r="J124" s="37">
        <v>1.5</v>
      </c>
      <c r="K124" s="38">
        <v>1.5</v>
      </c>
      <c r="L124" s="9">
        <f>IF(Database[[#This Row],[g]],Database[[#This Row],[C]]/Database[[#This Row],[Lb]],0)</f>
        <v>0</v>
      </c>
      <c r="M124" s="9">
        <f>IF(Database[[#This Row],[$]], Database[[#This Row],[C]]/Database[[#This Row],[$]],0)</f>
        <v>0</v>
      </c>
      <c r="N124" s="25">
        <f>IF(OR(ISBLANK(Database[[#This Row],[Air]]),ISBLANK(Database[[#This Row],[Flex]])),0,VLOOKUP(Database[[#This Row],[Flex]],FlexScore[],2,FALSE)+VLOOKUP(Database[[#This Row],[Air]],AirScore[],2,FALSE))</f>
        <v>8</v>
      </c>
      <c r="O124" s="25">
        <f>Database[[#This Row],[g]]/Database[[#This Row],[g/S]]</f>
        <v>1</v>
      </c>
      <c r="P124" s="42">
        <f>IF(Database[[#This Row],[g]],Database[[#This Row],[g]]/453.59237,0)</f>
        <v>3.3069339327731636E-3</v>
      </c>
      <c r="Q124" s="10">
        <f>Database[[#This Row],[Lb]]*16</f>
        <v>5.2910942924370617E-2</v>
      </c>
      <c r="R124" s="9">
        <f>IF(Database[[#This Row],[g]],(Database[[#This Row],[C/S]]/Database[[#This Row],[g/S]])*Database[[#This Row],[g]],0)</f>
        <v>0</v>
      </c>
      <c r="S124" s="11">
        <f>_xlfn.NORM.DIST(Database[[#This Row],[C/Lb]],$L$127,$L$128,TRUE)</f>
        <v>2.3117151326952378E-3</v>
      </c>
      <c r="T124" s="12">
        <f>_xlfn.NORM.DIST(Database[[#This Row],[Pack]],$N$127,$N$128,TRUE)</f>
        <v>0.95212895676000608</v>
      </c>
      <c r="U124" s="11">
        <f>_xlfn.NORM.DIST(Database[[#This Row],[C/$]],$M$127,$M$128,TRUE)</f>
        <v>0.11719819229916803</v>
      </c>
      <c r="V124" s="11">
        <f>Database[[#This Row],[C/Lb N]]*$F$14+Database[[#This Row],[C/$ N]]*$F$16+Database[[#This Row],[Pack N]]*$F$15</f>
        <v>2.2697227812136878</v>
      </c>
      <c r="W124" s="32">
        <v>0</v>
      </c>
      <c r="X124" s="32">
        <v>0</v>
      </c>
      <c r="Y124" s="32">
        <v>0</v>
      </c>
      <c r="Z124" s="32">
        <v>0.26</v>
      </c>
      <c r="AA124" s="32">
        <v>0</v>
      </c>
      <c r="AB124" s="32">
        <v>0</v>
      </c>
      <c r="AC124" s="32">
        <v>0</v>
      </c>
      <c r="AD124" s="32">
        <v>0</v>
      </c>
      <c r="AE124" s="32">
        <v>0</v>
      </c>
      <c r="AF124" s="32">
        <v>0</v>
      </c>
      <c r="AG124" s="32">
        <v>0</v>
      </c>
      <c r="AH124" s="32">
        <v>0</v>
      </c>
      <c r="AI124" s="32">
        <v>0</v>
      </c>
      <c r="AJ124" s="32">
        <v>0</v>
      </c>
    </row>
    <row r="125" spans="2:36" x14ac:dyDescent="0.2">
      <c r="B125" t="s">
        <v>222</v>
      </c>
      <c r="C125" t="s">
        <v>225</v>
      </c>
      <c r="D125" t="s">
        <v>86</v>
      </c>
      <c r="E125" s="20">
        <f>((Database[[#This Row],[Raw Score]]-MIN(Database[Raw Score]))/(MAX(Database[Raw Score])-MIN(Database[Raw Score])))*10</f>
        <v>2.9508985765526949E-2</v>
      </c>
      <c r="F125" s="21">
        <v>2.59</v>
      </c>
      <c r="G125" s="27" t="s">
        <v>17</v>
      </c>
      <c r="H125" s="27" t="s">
        <v>25</v>
      </c>
      <c r="I125" s="39">
        <v>80</v>
      </c>
      <c r="J125" s="37">
        <v>74</v>
      </c>
      <c r="K125" s="38">
        <v>74</v>
      </c>
      <c r="L125" s="9">
        <f>IF(Database[[#This Row],[g]],Database[[#This Row],[C]]/Database[[#This Row],[Lb]],0)</f>
        <v>490.37012972972974</v>
      </c>
      <c r="M125" s="9">
        <f>IF(Database[[#This Row],[$]], Database[[#This Row],[C]]/Database[[#This Row],[$]],0)</f>
        <v>30.88803088803089</v>
      </c>
      <c r="N125" s="25">
        <f>IF(OR(ISBLANK(Database[[#This Row],[Air]]),ISBLANK(Database[[#This Row],[Flex]])),0,VLOOKUP(Database[[#This Row],[Flex]],FlexScore[],2,FALSE)+VLOOKUP(Database[[#This Row],[Air]],AirScore[],2,FALSE))</f>
        <v>6.5</v>
      </c>
      <c r="O125" s="25">
        <f>Database[[#This Row],[g]]/Database[[#This Row],[g/S]]</f>
        <v>1</v>
      </c>
      <c r="P125" s="42">
        <f>IF(Database[[#This Row],[g]],Database[[#This Row],[g]]/453.59237,0)</f>
        <v>0.16314207401680941</v>
      </c>
      <c r="Q125" s="10">
        <f>Database[[#This Row],[Lb]]*16</f>
        <v>2.6102731842689506</v>
      </c>
      <c r="R125" s="9">
        <f>IF(Database[[#This Row],[g]],(Database[[#This Row],[C/S]]/Database[[#This Row],[g/S]])*Database[[#This Row],[g]],0)</f>
        <v>80</v>
      </c>
      <c r="S125" s="11">
        <f>_xlfn.NORM.DIST(Database[[#This Row],[C/Lb]],$L$127,$L$128,TRUE)</f>
        <v>1.7127071770923055E-2</v>
      </c>
      <c r="T125" s="12">
        <f>_xlfn.NORM.DIST(Database[[#This Row],[Pack]],$N$127,$N$128,TRUE)</f>
        <v>0.7916042392722078</v>
      </c>
      <c r="U125" s="11">
        <f>_xlfn.NORM.DIST(Database[[#This Row],[C/$]],$M$127,$M$128,TRUE)</f>
        <v>0.14190214892698089</v>
      </c>
      <c r="V125" s="11">
        <f>Database[[#This Row],[C/Lb N]]*$F$14+Database[[#This Row],[C/$ N]]*$F$16+Database[[#This Row],[Pack N]]*$F$15</f>
        <v>2.1116773559508966</v>
      </c>
      <c r="W125" s="32">
        <v>0.03</v>
      </c>
      <c r="X125" s="32">
        <v>0.03</v>
      </c>
      <c r="Y125" s="32">
        <v>0.2</v>
      </c>
      <c r="Z125" s="32">
        <v>0.16</v>
      </c>
      <c r="AA125" s="32">
        <v>0</v>
      </c>
      <c r="AB125" s="32">
        <v>0</v>
      </c>
      <c r="AC125" s="32">
        <v>0</v>
      </c>
      <c r="AD125" s="32">
        <v>0.27</v>
      </c>
      <c r="AE125" s="32">
        <v>0</v>
      </c>
      <c r="AF125" s="32">
        <v>0</v>
      </c>
      <c r="AG125" s="32">
        <v>0</v>
      </c>
      <c r="AH125" s="32">
        <v>0</v>
      </c>
      <c r="AI125" s="32">
        <v>0.02</v>
      </c>
      <c r="AJ125" s="32">
        <v>0.04</v>
      </c>
    </row>
    <row r="126" spans="2:36" x14ac:dyDescent="0.2">
      <c r="B126" t="s">
        <v>226</v>
      </c>
      <c r="C126" t="s">
        <v>227</v>
      </c>
      <c r="D126" t="s">
        <v>79</v>
      </c>
      <c r="E126" s="20">
        <f>((Database[[#This Row],[Raw Score]]-MIN(Database[Raw Score]))/(MAX(Database[Raw Score])-MIN(Database[Raw Score])))*10</f>
        <v>0</v>
      </c>
      <c r="F126" s="34">
        <v>8.39</v>
      </c>
      <c r="G126" s="27" t="s">
        <v>17</v>
      </c>
      <c r="H126" s="30" t="s">
        <v>24</v>
      </c>
      <c r="I126" s="40">
        <v>70</v>
      </c>
      <c r="J126" s="37">
        <v>90</v>
      </c>
      <c r="K126" s="38">
        <f>Database[[#This Row],[g/S]]*12</f>
        <v>1080</v>
      </c>
      <c r="L126" s="9">
        <f>IF(Database[[#This Row],[g]],Database[[#This Row],[C]]/Database[[#This Row],[Lb]],0)</f>
        <v>352.79406555555556</v>
      </c>
      <c r="M126" s="9">
        <f>IF(Database[[#This Row],[$]], Database[[#This Row],[C]]/Database[[#This Row],[$]],0)</f>
        <v>100.119189511323</v>
      </c>
      <c r="N126" s="25">
        <f>IF(OR(ISBLANK(Database[[#This Row],[Air]]),ISBLANK(Database[[#This Row],[Flex]])),0,VLOOKUP(Database[[#This Row],[Flex]],FlexScore[],2,FALSE)+VLOOKUP(Database[[#This Row],[Air]],AirScore[],2,FALSE))</f>
        <v>6</v>
      </c>
      <c r="O126" s="25">
        <f>Database[[#This Row],[g]]/Database[[#This Row],[g/S]]</f>
        <v>12</v>
      </c>
      <c r="P126" s="42">
        <f>IF(Database[[#This Row],[g]],Database[[#This Row],[g]]/453.59237,0)</f>
        <v>2.3809924315966779</v>
      </c>
      <c r="Q126" s="10">
        <f>Database[[#This Row],[Lb]]*16</f>
        <v>38.095878905546847</v>
      </c>
      <c r="R126" s="9">
        <f>IF(Database[[#This Row],[g]],(Database[[#This Row],[C/S]]/Database[[#This Row],[g/S]])*Database[[#This Row],[g]],0)</f>
        <v>840</v>
      </c>
      <c r="S126" s="11">
        <f>_xlfn.NORM.DIST(Database[[#This Row],[C/Lb]],$L$127,$L$128,TRUE)</f>
        <v>1.0233053334769196E-2</v>
      </c>
      <c r="T126" s="12">
        <f>_xlfn.NORM.DIST(Database[[#This Row],[Pack]],$N$127,$N$128,TRUE)</f>
        <v>0.70103567958788682</v>
      </c>
      <c r="U126" s="11">
        <f>_xlfn.NORM.DIST(Database[[#This Row],[C/$]],$M$127,$M$128,TRUE)</f>
        <v>0.20928448383641127</v>
      </c>
      <c r="V126" s="11">
        <f>Database[[#This Row],[C/Lb N]]*$F$14+Database[[#This Row],[C/$ N]]*$F$16+Database[[#This Row],[Pack N]]*$F$15</f>
        <v>2.0913231306936226</v>
      </c>
      <c r="W126" s="32">
        <v>0</v>
      </c>
      <c r="X126" s="32">
        <v>0</v>
      </c>
      <c r="Y126" s="32">
        <v>0</v>
      </c>
      <c r="Z126" s="32">
        <v>0</v>
      </c>
      <c r="AA126" s="32">
        <v>0.06</v>
      </c>
      <c r="AB126" s="32">
        <v>0.11</v>
      </c>
      <c r="AC126" s="32">
        <v>0</v>
      </c>
      <c r="AD126" s="32">
        <v>0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0.02</v>
      </c>
    </row>
    <row r="127" spans="2:36" x14ac:dyDescent="0.2">
      <c r="D127" s="43" t="s">
        <v>228</v>
      </c>
      <c r="E127" s="20">
        <f>AVERAGE(E25:E126)</f>
        <v>4.7373780010234956</v>
      </c>
      <c r="F127" s="21">
        <f>AVERAGE(F25:F126)</f>
        <v>4.9351960784313729</v>
      </c>
      <c r="G127" s="1"/>
      <c r="I127" s="22">
        <f>AVERAGE(I25:I126)</f>
        <v>181.95098039215685</v>
      </c>
      <c r="J127" s="22">
        <f>AVERAGE(J25:J126)</f>
        <v>45.748974620151095</v>
      </c>
      <c r="K127" s="22">
        <f>AVERAGE(K25:K126)</f>
        <v>301.47843137254904</v>
      </c>
      <c r="L127" s="2">
        <f>AVERAGE(L25:L126)</f>
        <v>1942.1292422174513</v>
      </c>
      <c r="M127" s="2">
        <f>AVERAGE(M25:M126)</f>
        <v>313.12891455496964</v>
      </c>
      <c r="N127" s="24">
        <f>AVERAGE(N25:N126)</f>
        <v>5.0735294117647056</v>
      </c>
      <c r="O127" s="24">
        <f>AVERAGE(O25:O126)</f>
        <v>8.2149872443038383</v>
      </c>
      <c r="P127" s="24">
        <f>AVERAGE(P25:P126)</f>
        <v>0.66464616980340552</v>
      </c>
      <c r="Q127" s="8">
        <f>AVERAGE(Q25:Q126)</f>
        <v>10.634338716854488</v>
      </c>
      <c r="R127" s="7">
        <f>AVERAGE(R25:R126)</f>
        <v>1271.8235406543167</v>
      </c>
      <c r="S127" s="36">
        <f>AVERAGE(S25:S126)</f>
        <v>0.49808891494778307</v>
      </c>
      <c r="T127" s="36">
        <f>AVERAGE(T25:T126)</f>
        <v>0.49589805671529247</v>
      </c>
      <c r="U127" s="36">
        <f>AVERAGE(U25:U126)</f>
        <v>0.45955486439744248</v>
      </c>
      <c r="V127" s="14"/>
      <c r="W127" s="14"/>
      <c r="X127" s="14"/>
      <c r="Y127" s="14"/>
      <c r="Z127" s="14"/>
      <c r="AA127" s="14"/>
      <c r="AB127" s="14"/>
      <c r="AC127" s="2"/>
      <c r="AD127" s="2"/>
      <c r="AE127" s="14"/>
      <c r="AF127" s="14"/>
      <c r="AG127" s="14"/>
      <c r="AH127" s="14"/>
      <c r="AI127" s="14"/>
    </row>
    <row r="128" spans="2:36" x14ac:dyDescent="0.2">
      <c r="D128" s="43" t="s">
        <v>229</v>
      </c>
      <c r="E128" s="20">
        <f>STDEV(E25:E126)</f>
        <v>2.5621580842136042</v>
      </c>
      <c r="F128" s="21">
        <f>STDEV(F25:F126)</f>
        <v>4.5620194265589538</v>
      </c>
      <c r="G128" s="1"/>
      <c r="I128" s="22">
        <f>STDEV(I25:I126)</f>
        <v>104.64427034415692</v>
      </c>
      <c r="J128" s="22">
        <f>STDEV(J25:J126)</f>
        <v>27.189001358016757</v>
      </c>
      <c r="K128" s="22">
        <f>STDEV(K25:K126)</f>
        <v>294.32502732252675</v>
      </c>
      <c r="L128" s="2">
        <f>STDEV(L25:L126)</f>
        <v>685.74067992354014</v>
      </c>
      <c r="M128" s="2">
        <f>STDEV(M25:M126)</f>
        <v>263.3304867452822</v>
      </c>
      <c r="N128" s="24">
        <f t="shared" ref="N128:U128" si="0">STDEV(N25:N126)</f>
        <v>1.756736762745583</v>
      </c>
      <c r="O128" s="24">
        <f t="shared" ref="O128" si="1">STDEV(O25:O126)</f>
        <v>7.8574648246181305</v>
      </c>
      <c r="P128" s="24">
        <f t="shared" si="0"/>
        <v>0.64887561341150102</v>
      </c>
      <c r="Q128" s="8">
        <f t="shared" si="0"/>
        <v>10.382009814584016</v>
      </c>
      <c r="R128" s="7">
        <f t="shared" si="0"/>
        <v>1277.9419409669922</v>
      </c>
      <c r="S128" s="36">
        <f t="shared" si="0"/>
        <v>0.25971942224724259</v>
      </c>
      <c r="T128" s="36">
        <f t="shared" si="0"/>
        <v>0.28609810165725097</v>
      </c>
      <c r="U128" s="36">
        <f t="shared" si="0"/>
        <v>0.25413874317069268</v>
      </c>
      <c r="V128" s="14"/>
      <c r="W128" s="14"/>
      <c r="X128" s="14"/>
      <c r="Y128" s="14"/>
      <c r="Z128" s="14"/>
      <c r="AA128" s="14"/>
      <c r="AB128" s="14"/>
      <c r="AC128" s="2"/>
      <c r="AD128" s="2"/>
      <c r="AE128" s="14"/>
      <c r="AF128" s="14"/>
      <c r="AG128" s="14"/>
      <c r="AH128" s="14"/>
      <c r="AI128" s="14"/>
    </row>
    <row r="129" spans="1:125" ht="21" x14ac:dyDescent="0.3">
      <c r="H129" s="2"/>
      <c r="K129" s="1"/>
      <c r="AL129" s="5"/>
    </row>
    <row r="130" spans="1:125" s="5" customFormat="1" ht="21" x14ac:dyDescent="0.3">
      <c r="A130" s="6">
        <v>3</v>
      </c>
      <c r="B130" s="5" t="s">
        <v>230</v>
      </c>
      <c r="D130" s="17"/>
      <c r="G130" s="18"/>
      <c r="J130" s="19"/>
      <c r="R130" s="6"/>
      <c r="T130" s="6"/>
      <c r="AK130"/>
      <c r="AL130" s="72"/>
    </row>
    <row r="131" spans="1:125" ht="18.75" x14ac:dyDescent="0.25">
      <c r="A131" s="73"/>
      <c r="B131" s="74" t="s">
        <v>231</v>
      </c>
      <c r="C131" s="75">
        <v>5</v>
      </c>
      <c r="D131" s="72"/>
      <c r="E131" s="72"/>
      <c r="F131" s="72"/>
      <c r="G131" s="76"/>
      <c r="H131" s="72"/>
      <c r="I131" s="72"/>
      <c r="J131" s="77"/>
      <c r="K131" s="72"/>
      <c r="L131" s="72"/>
      <c r="M131" s="72"/>
      <c r="N131" s="72"/>
      <c r="O131" s="72"/>
      <c r="P131" s="72"/>
      <c r="Q131" s="72"/>
      <c r="R131" s="73"/>
      <c r="S131" s="72"/>
      <c r="T131" s="73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  <c r="BX131" s="72"/>
      <c r="BY131" s="72"/>
      <c r="BZ131" s="72"/>
      <c r="CA131" s="72"/>
      <c r="CB131" s="72"/>
      <c r="CC131" s="72"/>
      <c r="CD131" s="72"/>
      <c r="CE131" s="72"/>
      <c r="CF131" s="72"/>
      <c r="CG131" s="72"/>
      <c r="CH131" s="72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72"/>
      <c r="CT131" s="72"/>
      <c r="CU131" s="72"/>
      <c r="CV131" s="72"/>
      <c r="CW131" s="72"/>
      <c r="CX131" s="72"/>
      <c r="CY131" s="72"/>
      <c r="CZ131" s="72"/>
      <c r="DA131" s="72"/>
      <c r="DB131" s="72"/>
      <c r="DC131" s="72"/>
      <c r="DD131" s="72"/>
      <c r="DE131" s="72"/>
      <c r="DF131" s="72"/>
      <c r="DG131" s="72"/>
      <c r="DH131" s="72"/>
      <c r="DI131" s="72"/>
      <c r="DJ131" s="72"/>
      <c r="DK131" s="72"/>
      <c r="DL131" s="72"/>
      <c r="DM131" s="72"/>
      <c r="DN131" s="72"/>
      <c r="DO131" s="72"/>
      <c r="DP131" s="72"/>
      <c r="DQ131" s="72"/>
      <c r="DR131" s="72"/>
      <c r="DS131" s="72"/>
    </row>
    <row r="132" spans="1:125" x14ac:dyDescent="0.2">
      <c r="A132" s="4"/>
      <c r="B132" s="43"/>
      <c r="C132" s="44"/>
      <c r="D132" s="3"/>
      <c r="E132"/>
      <c r="G132" s="2"/>
      <c r="J132" s="1"/>
      <c r="R132" s="4"/>
      <c r="S132"/>
      <c r="T132" s="4"/>
      <c r="U132"/>
    </row>
    <row r="133" spans="1:125" ht="15.75" customHeight="1" x14ac:dyDescent="0.2">
      <c r="B133" s="87" t="s">
        <v>232</v>
      </c>
      <c r="C133" s="88"/>
      <c r="D133" s="88"/>
      <c r="E133" s="89"/>
      <c r="H133" s="2"/>
      <c r="K133" s="1"/>
      <c r="AL133" s="14"/>
    </row>
    <row r="134" spans="1:125" x14ac:dyDescent="0.2">
      <c r="B134" t="s">
        <v>31</v>
      </c>
      <c r="C134" t="s">
        <v>32</v>
      </c>
      <c r="D134" t="s">
        <v>13</v>
      </c>
      <c r="E134" t="s">
        <v>41</v>
      </c>
      <c r="F134" t="s">
        <v>233</v>
      </c>
      <c r="G134" t="s">
        <v>43</v>
      </c>
      <c r="H134" t="s">
        <v>44</v>
      </c>
      <c r="I134" t="s">
        <v>34</v>
      </c>
      <c r="J134" t="s">
        <v>49</v>
      </c>
      <c r="K134" s="2" t="s">
        <v>50</v>
      </c>
      <c r="L134" t="s">
        <v>51</v>
      </c>
      <c r="M134" t="s">
        <v>52</v>
      </c>
      <c r="N134" s="1" t="s">
        <v>53</v>
      </c>
      <c r="O134" t="s">
        <v>54</v>
      </c>
      <c r="P134" t="s">
        <v>55</v>
      </c>
      <c r="Q134" t="s">
        <v>56</v>
      </c>
      <c r="R134" t="s">
        <v>57</v>
      </c>
      <c r="S134" t="s">
        <v>58</v>
      </c>
      <c r="T134" t="s">
        <v>59</v>
      </c>
      <c r="U134" t="s">
        <v>60</v>
      </c>
      <c r="V134" s="44" t="s">
        <v>61</v>
      </c>
      <c r="W134" t="s">
        <v>62</v>
      </c>
      <c r="X134" t="s">
        <v>234</v>
      </c>
      <c r="Y134" s="35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</row>
    <row r="135" spans="1:125" x14ac:dyDescent="0.2">
      <c r="B135" t="s">
        <v>145</v>
      </c>
      <c r="C135" t="s">
        <v>146</v>
      </c>
      <c r="D135" s="71" cm="1">
        <f t="array" ref="D135">IF(ISBLANK(PackingList[[#This Row],[Item]]),"", _xlfn.XLOOKUP(1,(PackingList[[#This Row],[Item]]=Database[Item])*(PackingList[[#This Row],[Brand]]=Database[Brand]),Database[Score],0))</f>
        <v>4.9843428307429667</v>
      </c>
      <c r="E135">
        <v>14</v>
      </c>
      <c r="F135" s="41" cm="1">
        <f t="array" ref="F135">IF(ISBLANK(PackingList[[#This Row],[Item]]),"", PackingList[[#This Row],[S]]* _xlfn.XLOOKUP(1,(PackingList[[#This Row],[Item]]=Database[Item])*(PackingList[[#This Row],[Brand]]=Database[Brand]),Database[Lb]/Database[S],0))</f>
        <v>1.111129801411783</v>
      </c>
      <c r="G135" s="1">
        <f>IF(ISBLANK(PackingList[[#This Row],[Item]]),"",PackingList[[#This Row],[Lbs]]*16)</f>
        <v>17.778076822588528</v>
      </c>
      <c r="H135" cm="1">
        <f t="array" ref="H135">IF(ISBLANK(PackingList[[#This Row],[Item]]),"", PackingList[[#This Row],[S]]* _xlfn.XLOOKUP(1,(PackingList[[#This Row],[Item]]=Database[Item])*(PackingList[[#This Row],[Brand]]=Database[Brand]),Database[C/S],0))</f>
        <v>1960</v>
      </c>
      <c r="I135" s="45" cm="1">
        <f t="array" ref="I135">IF(ISBLANK(PackingList[[#This Row],[Item]]),"", PackingList[[#This Row],[S]]* _xlfn.XLOOKUP(1,(PackingList[[#This Row],[Item]]=Database[Item])*(PackingList[[#This Row],[Brand]]=Database[Brand]),Database[$]/Database[S],0))</f>
        <v>7.6720000000000006</v>
      </c>
      <c r="J135" s="46" cm="1">
        <f t="array" ref="J135">IF(ISBLANK(PackingList[[#This Row],[Item]]),"", PackingList[[#This Row],[S]]* _xlfn.XLOOKUP(1,(PackingList[[#This Row],[Item]]=Database[Item])*(PackingList[[#This Row],[Brand]]=Database[Brand]),Database[Fat],0))</f>
        <v>0.14000000000000001</v>
      </c>
      <c r="K135" s="46" cm="1">
        <f t="array" ref="K135">IF(ISBLANK(PackingList[[#This Row],[Item]]),"", PackingList[[#This Row],[S]]* _xlfn.XLOOKUP(1,(PackingList[[#This Row],[Item]]=Database[Item])*(PackingList[[#This Row],[Brand]]=Database[Brand]),Database[S Fat],0))</f>
        <v>0.42</v>
      </c>
      <c r="L135" s="46" cm="1">
        <f t="array" ref="L135">IF(ISBLANK(PackingList[[#This Row],[Item]]),"", PackingList[[#This Row],[S]]* _xlfn.XLOOKUP(1,(PackingList[[#This Row],[Item]]=Database[Item])*(PackingList[[#This Row],[Brand]]=Database[Brand]),Database[Chol],0))</f>
        <v>0.28000000000000003</v>
      </c>
      <c r="M135" s="46" cm="1">
        <f t="array" ref="M135">IF(ISBLANK(PackingList[[#This Row],[Item]]),"", PackingList[[#This Row],[S]]* _xlfn.XLOOKUP(1,(PackingList[[#This Row],[Item]]=Database[Item])*(PackingList[[#This Row],[Brand]]=Database[Brand]),Database[Na],0))</f>
        <v>0.56000000000000005</v>
      </c>
      <c r="N135" s="46" cm="1">
        <f t="array" ref="N135">IF(ISBLANK(PackingList[[#This Row],[Item]]),"", PackingList[[#This Row],[S]]* _xlfn.XLOOKUP(1,(PackingList[[#This Row],[Item]]=Database[Item])*(PackingList[[#This Row],[Brand]]=Database[Brand]),Database[Carb],0))</f>
        <v>1.4000000000000001</v>
      </c>
      <c r="O135" s="46" cm="1">
        <f t="array" ref="O135">IF(ISBLANK(PackingList[[#This Row],[Item]]),"", PackingList[[#This Row],[S]]* _xlfn.XLOOKUP(1,(PackingList[[#This Row],[Item]]=Database[Item])*(PackingList[[#This Row],[Brand]]=Database[Brand]),Database[Fib],0))</f>
        <v>0</v>
      </c>
      <c r="P135" s="46" cm="1">
        <f t="array" ref="P135">IF(ISBLANK(PackingList[[#This Row],[Item]]),"", PackingList[[#This Row],[S]]* _xlfn.XLOOKUP(1,(PackingList[[#This Row],[Item]]=Database[Item])*(PackingList[[#This Row],[Brand]]=Database[Brand]),Database[A. Sug],0))</f>
        <v>2.52</v>
      </c>
      <c r="Q135" s="46" cm="1">
        <f t="array" ref="Q135">IF(ISBLANK(PackingList[[#This Row],[Item]]),"", PackingList[[#This Row],[S]]* _xlfn.XLOOKUP(1,(PackingList[[#This Row],[Item]]=Database[Item])*(PackingList[[#This Row],[Brand]]=Database[Brand]),Database[Pro],0))</f>
        <v>1.4000000000000001</v>
      </c>
      <c r="R135" s="46" cm="1">
        <f t="array" ref="R135">IF(ISBLANK(PackingList[[#This Row],[Item]]),"", PackingList[[#This Row],[S]]* _xlfn.XLOOKUP(1,(PackingList[[#This Row],[Item]]=Database[Item])*(PackingList[[#This Row],[Brand]]=Database[Brand]),Database[Vit A],0))</f>
        <v>0.84</v>
      </c>
      <c r="S135" s="46" cm="1">
        <f t="array" ref="S135">IF(ISBLANK(PackingList[[#This Row],[Item]]),"", PackingList[[#This Row],[S]]* _xlfn.XLOOKUP(1,(PackingList[[#This Row],[Item]]=Database[Item])*(PackingList[[#This Row],[Brand]]=Database[Brand]),Database[Vit C],0))</f>
        <v>14</v>
      </c>
      <c r="T135" s="46" cm="1">
        <f t="array" ref="T135">IF(ISBLANK(PackingList[[#This Row],[Item]]),"", PackingList[[#This Row],[S]]* _xlfn.XLOOKUP(1,(PackingList[[#This Row],[Item]]=Database[Item])*(PackingList[[#This Row],[Brand]]=Database[Brand]),Database[Vit D],0))</f>
        <v>4.8999999999999995</v>
      </c>
      <c r="U135" s="46" cm="1">
        <f t="array" ref="U135">IF(ISBLANK(PackingList[[#This Row],[Item]]),"", PackingList[[#This Row],[S]]* _xlfn.XLOOKUP(1,(PackingList[[#This Row],[Item]]=Database[Item])*(PackingList[[#This Row],[Brand]]=Database[Brand]),Database[Ca],0))</f>
        <v>2.1</v>
      </c>
      <c r="V135" s="47" cm="1">
        <f t="array" ref="V135">IF(ISBLANK(PackingList[[#This Row],[Item]]),"", PackingList[[#This Row],[S]]* _xlfn.XLOOKUP(1,(PackingList[[#This Row],[Item]]=Database[Item])*(PackingList[[#This Row],[Brand]]=Database[Brand]),Database[Fe],0))</f>
        <v>2.8000000000000003</v>
      </c>
      <c r="W135" s="46" cm="1">
        <f t="array" ref="W135">IF(ISBLANK(PackingList[[#This Row],[Item]]),"", PackingList[[#This Row],[S]]* _xlfn.XLOOKUP(1,(PackingList[[#This Row],[Item]]=Database[Item])*(PackingList[[#This Row],[Brand]]=Database[Brand]),Database[K],0))</f>
        <v>0.84</v>
      </c>
      <c r="X135" s="44" t="str" cm="1">
        <f t="array" ref="X135:DU135">IFERROR(TRANSPOSE(_xlfn._xlws.SORT(IF(Database[Item]=PackingList[[#This Row],[Item]],Database[Brand],""),1,-1)), "")</f>
        <v>Carnation</v>
      </c>
      <c r="Y135" t="str">
        <v/>
      </c>
      <c r="Z135" t="str">
        <v/>
      </c>
      <c r="AA135" t="str">
        <v/>
      </c>
      <c r="AB135" t="str">
        <v/>
      </c>
      <c r="AC135" t="str">
        <v/>
      </c>
      <c r="AD135" t="str">
        <v/>
      </c>
      <c r="AE135" t="str">
        <v/>
      </c>
      <c r="AF135" t="str">
        <v/>
      </c>
      <c r="AG135" t="str">
        <v/>
      </c>
      <c r="AH135" t="str">
        <v/>
      </c>
      <c r="AI135" t="str">
        <v/>
      </c>
      <c r="AJ135" t="str">
        <v/>
      </c>
      <c r="AK135" t="str">
        <v/>
      </c>
      <c r="AL135" t="str">
        <v/>
      </c>
      <c r="AM135" t="str">
        <v/>
      </c>
      <c r="AN135" t="str">
        <v/>
      </c>
      <c r="AO135" t="str">
        <v/>
      </c>
      <c r="AP135" t="str">
        <v/>
      </c>
      <c r="AQ135" t="str">
        <v/>
      </c>
      <c r="AR135" t="str">
        <v/>
      </c>
      <c r="AS135" t="str">
        <v/>
      </c>
      <c r="AT135" t="str">
        <v/>
      </c>
      <c r="AU135" t="str">
        <v/>
      </c>
      <c r="AV135" t="str">
        <v/>
      </c>
      <c r="AW135" t="str">
        <v/>
      </c>
      <c r="AX135" t="str">
        <v/>
      </c>
      <c r="AY135" t="str">
        <v/>
      </c>
      <c r="AZ135" t="str">
        <v/>
      </c>
      <c r="BA135" t="str">
        <v/>
      </c>
      <c r="BB135" t="str">
        <v/>
      </c>
      <c r="BC135" t="str">
        <v/>
      </c>
      <c r="BD135" t="str">
        <v/>
      </c>
      <c r="BE135" t="str">
        <v/>
      </c>
      <c r="BF135" t="str">
        <v/>
      </c>
      <c r="BG135" t="str">
        <v/>
      </c>
      <c r="BH135" t="str">
        <v/>
      </c>
      <c r="BI135" t="str">
        <v/>
      </c>
      <c r="BJ135" t="str">
        <v/>
      </c>
      <c r="BK135" t="str">
        <v/>
      </c>
      <c r="BL135" t="str">
        <v/>
      </c>
      <c r="BM135" t="str">
        <v/>
      </c>
      <c r="BN135" t="str">
        <v/>
      </c>
      <c r="BO135" t="str">
        <v/>
      </c>
      <c r="BP135" t="str">
        <v/>
      </c>
      <c r="BQ135" t="str">
        <v/>
      </c>
      <c r="BR135" t="str">
        <v/>
      </c>
      <c r="BS135" t="str">
        <v/>
      </c>
      <c r="BT135" t="str">
        <v/>
      </c>
      <c r="BU135" t="str">
        <v/>
      </c>
      <c r="BV135" t="str">
        <v/>
      </c>
      <c r="BW135" t="str">
        <v/>
      </c>
      <c r="BX135" t="str">
        <v/>
      </c>
      <c r="BY135" t="str">
        <v/>
      </c>
      <c r="BZ135" t="str">
        <v/>
      </c>
      <c r="CA135" t="str">
        <v/>
      </c>
      <c r="CB135" t="str">
        <v/>
      </c>
      <c r="CC135" t="str">
        <v/>
      </c>
      <c r="CD135" t="str">
        <v/>
      </c>
      <c r="CE135" t="str">
        <v/>
      </c>
      <c r="CF135" t="str">
        <v/>
      </c>
      <c r="CG135" t="str">
        <v/>
      </c>
      <c r="CH135" t="str">
        <v/>
      </c>
      <c r="CI135" t="str">
        <v/>
      </c>
      <c r="CJ135" t="str">
        <v/>
      </c>
      <c r="CK135" t="str">
        <v/>
      </c>
      <c r="CL135" t="str">
        <v/>
      </c>
      <c r="CM135" t="str">
        <v/>
      </c>
      <c r="CN135" t="str">
        <v/>
      </c>
      <c r="CO135" t="str">
        <v/>
      </c>
      <c r="CP135" t="str">
        <v/>
      </c>
      <c r="CQ135" t="str">
        <v/>
      </c>
      <c r="CR135" t="str">
        <v/>
      </c>
      <c r="CS135" t="str">
        <v/>
      </c>
      <c r="CT135" t="str">
        <v/>
      </c>
      <c r="CU135" t="str">
        <v/>
      </c>
      <c r="CV135" t="str">
        <v/>
      </c>
      <c r="CW135" t="str">
        <v/>
      </c>
      <c r="CX135" t="str">
        <v/>
      </c>
      <c r="CY135" t="str">
        <v/>
      </c>
      <c r="CZ135" t="str">
        <v/>
      </c>
      <c r="DA135" t="str">
        <v/>
      </c>
      <c r="DB135" t="str">
        <v/>
      </c>
      <c r="DC135" t="str">
        <v/>
      </c>
      <c r="DD135" t="str">
        <v/>
      </c>
      <c r="DE135" t="str">
        <v/>
      </c>
      <c r="DF135" t="str">
        <v/>
      </c>
      <c r="DG135" t="str">
        <v/>
      </c>
      <c r="DH135" t="str">
        <v/>
      </c>
      <c r="DI135" t="str">
        <v/>
      </c>
      <c r="DJ135" t="str">
        <v/>
      </c>
      <c r="DK135" t="str">
        <v/>
      </c>
      <c r="DL135" t="str">
        <v/>
      </c>
      <c r="DM135" t="str">
        <v/>
      </c>
      <c r="DN135" t="str">
        <v/>
      </c>
      <c r="DO135" t="str">
        <v/>
      </c>
      <c r="DP135" t="str">
        <v/>
      </c>
      <c r="DQ135" t="str">
        <v/>
      </c>
      <c r="DR135" t="str">
        <v/>
      </c>
      <c r="DS135" t="str">
        <v/>
      </c>
      <c r="DT135" t="str">
        <v/>
      </c>
      <c r="DU135" t="str">
        <v/>
      </c>
    </row>
    <row r="136" spans="1:125" x14ac:dyDescent="0.2">
      <c r="B136" t="s">
        <v>158</v>
      </c>
      <c r="C136" t="s">
        <v>159</v>
      </c>
      <c r="D136" s="71" cm="1">
        <f t="array" ref="D136">IF(ISBLANK(PackingList[[#This Row],[Item]]),"", _xlfn.XLOOKUP(1,(PackingList[[#This Row],[Item]]=Database[Item])*(PackingList[[#This Row],[Brand]]=Database[Brand]),Database[Score],0))</f>
        <v>4.4669836724415655</v>
      </c>
      <c r="E136">
        <v>13</v>
      </c>
      <c r="F136" s="41" cm="1">
        <f t="array" ref="F136">IF(ISBLANK(PackingList[[#This Row],[Item]]),"", PackingList[[#This Row],[S]]* _xlfn.XLOOKUP(1,(PackingList[[#This Row],[Item]]=Database[Item])*(PackingList[[#This Row],[Brand]]=Database[Brand]),Database[Lb]/Database[S],0))</f>
        <v>1.6049652687059086</v>
      </c>
      <c r="G136" s="1">
        <f>IF(ISBLANK(PackingList[[#This Row],[Item]]),"",PackingList[[#This Row],[Lbs]]*16)</f>
        <v>25.679444299294538</v>
      </c>
      <c r="H136" cm="1">
        <f t="array" ref="H136">IF(ISBLANK(PackingList[[#This Row],[Item]]),"", PackingList[[#This Row],[S]]* _xlfn.XLOOKUP(1,(PackingList[[#This Row],[Item]]=Database[Item])*(PackingList[[#This Row],[Brand]]=Database[Brand]),Database[C/S],0))</f>
        <v>2600</v>
      </c>
      <c r="I136" s="45" cm="1">
        <f t="array" ref="I136">IF(ISBLANK(PackingList[[#This Row],[Item]]),"", PackingList[[#This Row],[S]]* _xlfn.XLOOKUP(1,(PackingList[[#This Row],[Item]]=Database[Item])*(PackingList[[#This Row],[Brand]]=Database[Brand]),Database[$]/Database[S],0))</f>
        <v>8.133049267643143</v>
      </c>
      <c r="J136" s="46" cm="1">
        <f t="array" ref="J136">IF(ISBLANK(PackingList[[#This Row],[Item]]),"", PackingList[[#This Row],[S]]* _xlfn.XLOOKUP(1,(PackingList[[#This Row],[Item]]=Database[Item])*(PackingList[[#This Row],[Brand]]=Database[Brand]),Database[Fat],0))</f>
        <v>0.13</v>
      </c>
      <c r="K136" s="46" cm="1">
        <f t="array" ref="K136">IF(ISBLANK(PackingList[[#This Row],[Item]]),"", PackingList[[#This Row],[S]]* _xlfn.XLOOKUP(1,(PackingList[[#This Row],[Item]]=Database[Item])*(PackingList[[#This Row],[Brand]]=Database[Brand]),Database[S Fat],0))</f>
        <v>0</v>
      </c>
      <c r="L136" s="46" cm="1">
        <f t="array" ref="L136">IF(ISBLANK(PackingList[[#This Row],[Item]]),"", PackingList[[#This Row],[S]]* _xlfn.XLOOKUP(1,(PackingList[[#This Row],[Item]]=Database[Item])*(PackingList[[#This Row],[Brand]]=Database[Brand]),Database[Chol],0))</f>
        <v>0</v>
      </c>
      <c r="M136" s="46" cm="1">
        <f t="array" ref="M136">IF(ISBLANK(PackingList[[#This Row],[Item]]),"", PackingList[[#This Row],[S]]* _xlfn.XLOOKUP(1,(PackingList[[#This Row],[Item]]=Database[Item])*(PackingList[[#This Row],[Brand]]=Database[Brand]),Database[Na],0))</f>
        <v>0</v>
      </c>
      <c r="N136" s="46" cm="1">
        <f t="array" ref="N136">IF(ISBLANK(PackingList[[#This Row],[Item]]),"", PackingList[[#This Row],[S]]* _xlfn.XLOOKUP(1,(PackingList[[#This Row],[Item]]=Database[Item])*(PackingList[[#This Row],[Brand]]=Database[Brand]),Database[Carb],0))</f>
        <v>1.95</v>
      </c>
      <c r="O136" s="46" cm="1">
        <f t="array" ref="O136">IF(ISBLANK(PackingList[[#This Row],[Item]]),"", PackingList[[#This Row],[S]]* _xlfn.XLOOKUP(1,(PackingList[[#This Row],[Item]]=Database[Item])*(PackingList[[#This Row],[Brand]]=Database[Brand]),Database[Fib],0))</f>
        <v>1.8200000000000003</v>
      </c>
      <c r="P136" s="46" cm="1">
        <f t="array" ref="P136">IF(ISBLANK(PackingList[[#This Row],[Item]]),"", PackingList[[#This Row],[S]]* _xlfn.XLOOKUP(1,(PackingList[[#This Row],[Item]]=Database[Item])*(PackingList[[#This Row],[Brand]]=Database[Brand]),Database[A. Sug],0))</f>
        <v>0</v>
      </c>
      <c r="Q136" s="46" cm="1">
        <f t="array" ref="Q136">IF(ISBLANK(PackingList[[#This Row],[Item]]),"", PackingList[[#This Row],[S]]* _xlfn.XLOOKUP(1,(PackingList[[#This Row],[Item]]=Database[Item])*(PackingList[[#This Row],[Brand]]=Database[Brand]),Database[Pro],0))</f>
        <v>1.8200000000000003</v>
      </c>
      <c r="R136" s="46" cm="1">
        <f t="array" ref="R136">IF(ISBLANK(PackingList[[#This Row],[Item]]),"", PackingList[[#This Row],[S]]* _xlfn.XLOOKUP(1,(PackingList[[#This Row],[Item]]=Database[Item])*(PackingList[[#This Row],[Brand]]=Database[Brand]),Database[Vit A],0))</f>
        <v>0</v>
      </c>
      <c r="S136" s="46" cm="1">
        <f t="array" ref="S136">IF(ISBLANK(PackingList[[#This Row],[Item]]),"", PackingList[[#This Row],[S]]* _xlfn.XLOOKUP(1,(PackingList[[#This Row],[Item]]=Database[Item])*(PackingList[[#This Row],[Brand]]=Database[Brand]),Database[Vit C],0))</f>
        <v>0</v>
      </c>
      <c r="T136" s="46" cm="1">
        <f t="array" ref="T136">IF(ISBLANK(PackingList[[#This Row],[Item]]),"", PackingList[[#This Row],[S]]* _xlfn.XLOOKUP(1,(PackingList[[#This Row],[Item]]=Database[Item])*(PackingList[[#This Row],[Brand]]=Database[Brand]),Database[Vit D],0))</f>
        <v>0</v>
      </c>
      <c r="U136" s="46" cm="1">
        <f t="array" ref="U136">IF(ISBLANK(PackingList[[#This Row],[Item]]),"", PackingList[[#This Row],[S]]* _xlfn.XLOOKUP(1,(PackingList[[#This Row],[Item]]=Database[Item])*(PackingList[[#This Row],[Brand]]=Database[Brand]),Database[Ca],0))</f>
        <v>0</v>
      </c>
      <c r="V136" s="47" cm="1">
        <f t="array" ref="V136">IF(ISBLANK(PackingList[[#This Row],[Item]]),"", PackingList[[#This Row],[S]]* _xlfn.XLOOKUP(1,(PackingList[[#This Row],[Item]]=Database[Item])*(PackingList[[#This Row],[Brand]]=Database[Brand]),Database[Fe],0))</f>
        <v>0.78</v>
      </c>
      <c r="W136" s="46" cm="1">
        <f t="array" ref="W136">IF(ISBLANK(PackingList[[#This Row],[Item]]),"", PackingList[[#This Row],[S]]* _xlfn.XLOOKUP(1,(PackingList[[#This Row],[Item]]=Database[Item])*(PackingList[[#This Row],[Brand]]=Database[Brand]),Database[K],0))</f>
        <v>0.26</v>
      </c>
      <c r="X136" s="44" t="str" cm="1">
        <f t="array" ref="X136:DU136">IFERROR(TRANSPOSE(_xlfn._xlws.SORT(IF(Database[Item]=PackingList[[#This Row],[Item]],Database[Brand],""),1,-1)), "")</f>
        <v>RiceSelect</v>
      </c>
      <c r="Y136" t="str">
        <v>(Generic)</v>
      </c>
      <c r="Z136" t="str">
        <v/>
      </c>
      <c r="AA136" t="str">
        <v/>
      </c>
      <c r="AB136" t="str">
        <v/>
      </c>
      <c r="AC136" t="str">
        <v/>
      </c>
      <c r="AD136" t="str">
        <v/>
      </c>
      <c r="AE136" t="str">
        <v/>
      </c>
      <c r="AF136" t="str">
        <v/>
      </c>
      <c r="AG136" t="str">
        <v/>
      </c>
      <c r="AH136" t="str">
        <v/>
      </c>
      <c r="AI136" t="str">
        <v/>
      </c>
      <c r="AJ136" t="str">
        <v/>
      </c>
      <c r="AK136" t="str">
        <v/>
      </c>
      <c r="AL136" t="str">
        <v/>
      </c>
      <c r="AM136" t="str">
        <v/>
      </c>
      <c r="AN136" t="str">
        <v/>
      </c>
      <c r="AO136" t="str">
        <v/>
      </c>
      <c r="AP136" t="str">
        <v/>
      </c>
      <c r="AQ136" t="str">
        <v/>
      </c>
      <c r="AR136" t="str">
        <v/>
      </c>
      <c r="AS136" t="str">
        <v/>
      </c>
      <c r="AT136" t="str">
        <v/>
      </c>
      <c r="AU136" t="str">
        <v/>
      </c>
      <c r="AV136" t="str">
        <v/>
      </c>
      <c r="AW136" t="str">
        <v/>
      </c>
      <c r="AX136" t="str">
        <v/>
      </c>
      <c r="AY136" t="str">
        <v/>
      </c>
      <c r="AZ136" t="str">
        <v/>
      </c>
      <c r="BA136" t="str">
        <v/>
      </c>
      <c r="BB136" t="str">
        <v/>
      </c>
      <c r="BC136" t="str">
        <v/>
      </c>
      <c r="BD136" t="str">
        <v/>
      </c>
      <c r="BE136" t="str">
        <v/>
      </c>
      <c r="BF136" t="str">
        <v/>
      </c>
      <c r="BG136" t="str">
        <v/>
      </c>
      <c r="BH136" t="str">
        <v/>
      </c>
      <c r="BI136" t="str">
        <v/>
      </c>
      <c r="BJ136" t="str">
        <v/>
      </c>
      <c r="BK136" t="str">
        <v/>
      </c>
      <c r="BL136" t="str">
        <v/>
      </c>
      <c r="BM136" t="str">
        <v/>
      </c>
      <c r="BN136" t="str">
        <v/>
      </c>
      <c r="BO136" t="str">
        <v/>
      </c>
      <c r="BP136" t="str">
        <v/>
      </c>
      <c r="BQ136" t="str">
        <v/>
      </c>
      <c r="BR136" t="str">
        <v/>
      </c>
      <c r="BS136" t="str">
        <v/>
      </c>
      <c r="BT136" t="str">
        <v/>
      </c>
      <c r="BU136" t="str">
        <v/>
      </c>
      <c r="BV136" t="str">
        <v/>
      </c>
      <c r="BW136" t="str">
        <v/>
      </c>
      <c r="BX136" t="str">
        <v/>
      </c>
      <c r="BY136" t="str">
        <v/>
      </c>
      <c r="BZ136" t="str">
        <v/>
      </c>
      <c r="CA136" t="str">
        <v/>
      </c>
      <c r="CB136" t="str">
        <v/>
      </c>
      <c r="CC136" t="str">
        <v/>
      </c>
      <c r="CD136" t="str">
        <v/>
      </c>
      <c r="CE136" t="str">
        <v/>
      </c>
      <c r="CF136" t="str">
        <v/>
      </c>
      <c r="CG136" t="str">
        <v/>
      </c>
      <c r="CH136" t="str">
        <v/>
      </c>
      <c r="CI136" t="str">
        <v/>
      </c>
      <c r="CJ136" t="str">
        <v/>
      </c>
      <c r="CK136" t="str">
        <v/>
      </c>
      <c r="CL136" t="str">
        <v/>
      </c>
      <c r="CM136" t="str">
        <v/>
      </c>
      <c r="CN136" t="str">
        <v/>
      </c>
      <c r="CO136" t="str">
        <v/>
      </c>
      <c r="CP136" t="str">
        <v/>
      </c>
      <c r="CQ136" t="str">
        <v/>
      </c>
      <c r="CR136" t="str">
        <v/>
      </c>
      <c r="CS136" t="str">
        <v/>
      </c>
      <c r="CT136" t="str">
        <v/>
      </c>
      <c r="CU136" t="str">
        <v/>
      </c>
      <c r="CV136" t="str">
        <v/>
      </c>
      <c r="CW136" t="str">
        <v/>
      </c>
      <c r="CX136" t="str">
        <v/>
      </c>
      <c r="CY136" t="str">
        <v/>
      </c>
      <c r="CZ136" t="str">
        <v/>
      </c>
      <c r="DA136" t="str">
        <v/>
      </c>
      <c r="DB136" t="str">
        <v/>
      </c>
      <c r="DC136" t="str">
        <v/>
      </c>
      <c r="DD136" t="str">
        <v/>
      </c>
      <c r="DE136" t="str">
        <v/>
      </c>
      <c r="DF136" t="str">
        <v/>
      </c>
      <c r="DG136" t="str">
        <v/>
      </c>
      <c r="DH136" t="str">
        <v/>
      </c>
      <c r="DI136" t="str">
        <v/>
      </c>
      <c r="DJ136" t="str">
        <v/>
      </c>
      <c r="DK136" t="str">
        <v/>
      </c>
      <c r="DL136" t="str">
        <v/>
      </c>
      <c r="DM136" t="str">
        <v/>
      </c>
      <c r="DN136" t="str">
        <v/>
      </c>
      <c r="DO136" t="str">
        <v/>
      </c>
      <c r="DP136" t="str">
        <v/>
      </c>
      <c r="DQ136" t="str">
        <v/>
      </c>
      <c r="DR136" t="str">
        <v/>
      </c>
      <c r="DS136" t="str">
        <v/>
      </c>
      <c r="DT136" t="str">
        <v/>
      </c>
      <c r="DU136" t="str">
        <v/>
      </c>
    </row>
    <row r="137" spans="1:125" x14ac:dyDescent="0.2">
      <c r="B137" t="s">
        <v>95</v>
      </c>
      <c r="C137" t="s">
        <v>96</v>
      </c>
      <c r="D137" s="71" cm="1">
        <f t="array" ref="D137">IF(ISBLANK(PackingList[[#This Row],[Item]]),"", _xlfn.XLOOKUP(1,(PackingList[[#This Row],[Item]]=Database[Item])*(PackingList[[#This Row],[Brand]]=Database[Brand]),Database[Score],0))</f>
        <v>7.4099284041970108</v>
      </c>
      <c r="E137">
        <v>12</v>
      </c>
      <c r="F137" s="41" cm="1">
        <f t="array" ref="F137">IF(ISBLANK(PackingList[[#This Row],[Item]]),"", PackingList[[#This Row],[S]]* _xlfn.XLOOKUP(1,(PackingList[[#This Row],[Item]]=Database[Item])*(PackingList[[#This Row],[Brand]]=Database[Brand]),Database[Lb]/Database[S],0))</f>
        <v>0.79366414386555928</v>
      </c>
      <c r="G137" s="1">
        <f>IF(ISBLANK(PackingList[[#This Row],[Item]]),"",PackingList[[#This Row],[Lbs]]*16)</f>
        <v>12.698626301848948</v>
      </c>
      <c r="H137" cm="1">
        <f t="array" ref="H137">IF(ISBLANK(PackingList[[#This Row],[Item]]),"", PackingList[[#This Row],[S]]* _xlfn.XLOOKUP(1,(PackingList[[#This Row],[Item]]=Database[Item])*(PackingList[[#This Row],[Brand]]=Database[Brand]),Database[C/S],0))</f>
        <v>1800</v>
      </c>
      <c r="I137" s="45" cm="1">
        <f t="array" ref="I137">IF(ISBLANK(PackingList[[#This Row],[Item]]),"", PackingList[[#This Row],[S]]* _xlfn.XLOOKUP(1,(PackingList[[#This Row],[Item]]=Database[Item])*(PackingList[[#This Row],[Brand]]=Database[Brand]),Database[$]/Database[S],0))</f>
        <v>7.2900000000000009</v>
      </c>
      <c r="J137" s="46" cm="1">
        <f t="array" ref="J137">IF(ISBLANK(PackingList[[#This Row],[Item]]),"", PackingList[[#This Row],[S]]* _xlfn.XLOOKUP(1,(PackingList[[#This Row],[Item]]=Database[Item])*(PackingList[[#This Row],[Brand]]=Database[Brand]),Database[Fat],0))</f>
        <v>1.2000000000000002</v>
      </c>
      <c r="K137" s="46" cm="1">
        <f t="array" ref="K137">IF(ISBLANK(PackingList[[#This Row],[Item]]),"", PackingList[[#This Row],[S]]* _xlfn.XLOOKUP(1,(PackingList[[#This Row],[Item]]=Database[Item])*(PackingList[[#This Row],[Brand]]=Database[Brand]),Database[S Fat],0))</f>
        <v>3</v>
      </c>
      <c r="L137" s="46" cm="1">
        <f t="array" ref="L137">IF(ISBLANK(PackingList[[#This Row],[Item]]),"", PackingList[[#This Row],[S]]* _xlfn.XLOOKUP(1,(PackingList[[#This Row],[Item]]=Database[Item])*(PackingList[[#This Row],[Brand]]=Database[Brand]),Database[Chol],0))</f>
        <v>0.96</v>
      </c>
      <c r="M137" s="46" cm="1">
        <f t="array" ref="M137">IF(ISBLANK(PackingList[[#This Row],[Item]]),"", PackingList[[#This Row],[S]]* _xlfn.XLOOKUP(1,(PackingList[[#This Row],[Item]]=Database[Item])*(PackingList[[#This Row],[Brand]]=Database[Brand]),Database[Na],0))</f>
        <v>0.60000000000000009</v>
      </c>
      <c r="N137" s="46" cm="1">
        <f t="array" ref="N137">IF(ISBLANK(PackingList[[#This Row],[Item]]),"", PackingList[[#This Row],[S]]* _xlfn.XLOOKUP(1,(PackingList[[#This Row],[Item]]=Database[Item])*(PackingList[[#This Row],[Brand]]=Database[Brand]),Database[Carb],0))</f>
        <v>0.48</v>
      </c>
      <c r="O137" s="46" cm="1">
        <f t="array" ref="O137">IF(ISBLANK(PackingList[[#This Row],[Item]]),"", PackingList[[#This Row],[S]]* _xlfn.XLOOKUP(1,(PackingList[[#This Row],[Item]]=Database[Item])*(PackingList[[#This Row],[Brand]]=Database[Brand]),Database[Fib],0))</f>
        <v>0</v>
      </c>
      <c r="P137" s="46" cm="1">
        <f t="array" ref="P137">IF(ISBLANK(PackingList[[#This Row],[Item]]),"", PackingList[[#This Row],[S]]* _xlfn.XLOOKUP(1,(PackingList[[#This Row],[Item]]=Database[Item])*(PackingList[[#This Row],[Brand]]=Database[Brand]),Database[A. Sug],0))</f>
        <v>0</v>
      </c>
      <c r="Q137" s="46" cm="1">
        <f t="array" ref="Q137">IF(ISBLANK(PackingList[[#This Row],[Item]]),"", PackingList[[#This Row],[S]]* _xlfn.XLOOKUP(1,(PackingList[[#This Row],[Item]]=Database[Item])*(PackingList[[#This Row],[Brand]]=Database[Brand]),Database[Pro],0))</f>
        <v>1.92</v>
      </c>
      <c r="R137" s="46" cm="1">
        <f t="array" ref="R137">IF(ISBLANK(PackingList[[#This Row],[Item]]),"", PackingList[[#This Row],[S]]* _xlfn.XLOOKUP(1,(PackingList[[#This Row],[Item]]=Database[Item])*(PackingList[[#This Row],[Brand]]=Database[Brand]),Database[Vit A],0))</f>
        <v>1.2000000000000002</v>
      </c>
      <c r="S137" s="46" cm="1">
        <f t="array" ref="S137">IF(ISBLANK(PackingList[[#This Row],[Item]]),"", PackingList[[#This Row],[S]]* _xlfn.XLOOKUP(1,(PackingList[[#This Row],[Item]]=Database[Item])*(PackingList[[#This Row],[Brand]]=Database[Brand]),Database[Vit C],0))</f>
        <v>2.4000000000000004</v>
      </c>
      <c r="T137" s="46" cm="1">
        <f t="array" ref="T137">IF(ISBLANK(PackingList[[#This Row],[Item]]),"", PackingList[[#This Row],[S]]* _xlfn.XLOOKUP(1,(PackingList[[#This Row],[Item]]=Database[Item])*(PackingList[[#This Row],[Brand]]=Database[Brand]),Database[Vit D],0))</f>
        <v>0.96</v>
      </c>
      <c r="U137" s="46" cm="1">
        <f t="array" ref="U137">IF(ISBLANK(PackingList[[#This Row],[Item]]),"", PackingList[[#This Row],[S]]* _xlfn.XLOOKUP(1,(PackingList[[#This Row],[Item]]=Database[Item])*(PackingList[[#This Row],[Brand]]=Database[Brand]),Database[Ca],0))</f>
        <v>2.4000000000000004</v>
      </c>
      <c r="V137" s="47" cm="1">
        <f t="array" ref="V137">IF(ISBLANK(PackingList[[#This Row],[Item]]),"", PackingList[[#This Row],[S]]* _xlfn.XLOOKUP(1,(PackingList[[#This Row],[Item]]=Database[Item])*(PackingList[[#This Row],[Brand]]=Database[Brand]),Database[Fe],0))</f>
        <v>2.4000000000000004</v>
      </c>
      <c r="W137" s="46" cm="1">
        <f t="array" ref="W137">IF(ISBLANK(PackingList[[#This Row],[Item]]),"", PackingList[[#This Row],[S]]* _xlfn.XLOOKUP(1,(PackingList[[#This Row],[Item]]=Database[Item])*(PackingList[[#This Row],[Brand]]=Database[Brand]),Database[K],0))</f>
        <v>0.96</v>
      </c>
      <c r="X137" s="44" t="str" cm="1">
        <f t="array" ref="X137:DU137">IFERROR(TRANSPOSE(_xlfn._xlws.SORT(IF(Database[Item]=PackingList[[#This Row],[Item]],Database[Brand],""),1,-1)), "")</f>
        <v>Nido</v>
      </c>
      <c r="Y137" t="str">
        <v/>
      </c>
      <c r="Z137" t="str">
        <v/>
      </c>
      <c r="AA137" t="str">
        <v/>
      </c>
      <c r="AB137" t="str">
        <v/>
      </c>
      <c r="AC137" t="str">
        <v/>
      </c>
      <c r="AD137" t="str">
        <v/>
      </c>
      <c r="AE137" t="str">
        <v/>
      </c>
      <c r="AF137" t="str">
        <v/>
      </c>
      <c r="AG137" t="str">
        <v/>
      </c>
      <c r="AH137" t="str">
        <v/>
      </c>
      <c r="AI137" t="str">
        <v/>
      </c>
      <c r="AJ137" t="str">
        <v/>
      </c>
      <c r="AK137" t="str">
        <v/>
      </c>
      <c r="AL137" t="str">
        <v/>
      </c>
      <c r="AM137" t="str">
        <v/>
      </c>
      <c r="AN137" t="str">
        <v/>
      </c>
      <c r="AO137" t="str">
        <v/>
      </c>
      <c r="AP137" t="str">
        <v/>
      </c>
      <c r="AQ137" t="str">
        <v/>
      </c>
      <c r="AR137" t="str">
        <v/>
      </c>
      <c r="AS137" t="str">
        <v/>
      </c>
      <c r="AT137" t="str">
        <v/>
      </c>
      <c r="AU137" t="str">
        <v/>
      </c>
      <c r="AV137" t="str">
        <v/>
      </c>
      <c r="AW137" t="str">
        <v/>
      </c>
      <c r="AX137" t="str">
        <v/>
      </c>
      <c r="AY137" t="str">
        <v/>
      </c>
      <c r="AZ137" t="str">
        <v/>
      </c>
      <c r="BA137" t="str">
        <v/>
      </c>
      <c r="BB137" t="str">
        <v/>
      </c>
      <c r="BC137" t="str">
        <v/>
      </c>
      <c r="BD137" t="str">
        <v/>
      </c>
      <c r="BE137" t="str">
        <v/>
      </c>
      <c r="BF137" t="str">
        <v/>
      </c>
      <c r="BG137" t="str">
        <v/>
      </c>
      <c r="BH137" t="str">
        <v/>
      </c>
      <c r="BI137" t="str">
        <v/>
      </c>
      <c r="BJ137" t="str">
        <v/>
      </c>
      <c r="BK137" t="str">
        <v/>
      </c>
      <c r="BL137" t="str">
        <v/>
      </c>
      <c r="BM137" t="str">
        <v/>
      </c>
      <c r="BN137" t="str">
        <v/>
      </c>
      <c r="BO137" t="str">
        <v/>
      </c>
      <c r="BP137" t="str">
        <v/>
      </c>
      <c r="BQ137" t="str">
        <v/>
      </c>
      <c r="BR137" t="str">
        <v/>
      </c>
      <c r="BS137" t="str">
        <v/>
      </c>
      <c r="BT137" t="str">
        <v/>
      </c>
      <c r="BU137" t="str">
        <v/>
      </c>
      <c r="BV137" t="str">
        <v/>
      </c>
      <c r="BW137" t="str">
        <v/>
      </c>
      <c r="BX137" t="str">
        <v/>
      </c>
      <c r="BY137" t="str">
        <v/>
      </c>
      <c r="BZ137" t="str">
        <v/>
      </c>
      <c r="CA137" t="str">
        <v/>
      </c>
      <c r="CB137" t="str">
        <v/>
      </c>
      <c r="CC137" t="str">
        <v/>
      </c>
      <c r="CD137" t="str">
        <v/>
      </c>
      <c r="CE137" t="str">
        <v/>
      </c>
      <c r="CF137" t="str">
        <v/>
      </c>
      <c r="CG137" t="str">
        <v/>
      </c>
      <c r="CH137" t="str">
        <v/>
      </c>
      <c r="CI137" t="str">
        <v/>
      </c>
      <c r="CJ137" t="str">
        <v/>
      </c>
      <c r="CK137" t="str">
        <v/>
      </c>
      <c r="CL137" t="str">
        <v/>
      </c>
      <c r="CM137" t="str">
        <v/>
      </c>
      <c r="CN137" t="str">
        <v/>
      </c>
      <c r="CO137" t="str">
        <v/>
      </c>
      <c r="CP137" t="str">
        <v/>
      </c>
      <c r="CQ137" t="str">
        <v/>
      </c>
      <c r="CR137" t="str">
        <v/>
      </c>
      <c r="CS137" t="str">
        <v/>
      </c>
      <c r="CT137" t="str">
        <v/>
      </c>
      <c r="CU137" t="str">
        <v/>
      </c>
      <c r="CV137" t="str">
        <v/>
      </c>
      <c r="CW137" t="str">
        <v/>
      </c>
      <c r="CX137" t="str">
        <v/>
      </c>
      <c r="CY137" t="str">
        <v/>
      </c>
      <c r="CZ137" t="str">
        <v/>
      </c>
      <c r="DA137" t="str">
        <v/>
      </c>
      <c r="DB137" t="str">
        <v/>
      </c>
      <c r="DC137" t="str">
        <v/>
      </c>
      <c r="DD137" t="str">
        <v/>
      </c>
      <c r="DE137" t="str">
        <v/>
      </c>
      <c r="DF137" t="str">
        <v/>
      </c>
      <c r="DG137" t="str">
        <v/>
      </c>
      <c r="DH137" t="str">
        <v/>
      </c>
      <c r="DI137" t="str">
        <v/>
      </c>
      <c r="DJ137" t="str">
        <v/>
      </c>
      <c r="DK137" t="str">
        <v/>
      </c>
      <c r="DL137" t="str">
        <v/>
      </c>
      <c r="DM137" t="str">
        <v/>
      </c>
      <c r="DN137" t="str">
        <v/>
      </c>
      <c r="DO137" t="str">
        <v/>
      </c>
      <c r="DP137" t="str">
        <v/>
      </c>
      <c r="DQ137" t="str">
        <v/>
      </c>
      <c r="DR137" t="str">
        <v/>
      </c>
      <c r="DS137" t="str">
        <v/>
      </c>
      <c r="DT137" t="str">
        <v/>
      </c>
      <c r="DU137" t="str">
        <v/>
      </c>
    </row>
    <row r="138" spans="1:125" x14ac:dyDescent="0.2">
      <c r="B138" t="s">
        <v>68</v>
      </c>
      <c r="C138" t="s">
        <v>72</v>
      </c>
      <c r="D138" s="71" cm="1">
        <f t="array" ref="D138">IF(ISBLANK(PackingList[[#This Row],[Item]]),"", _xlfn.XLOOKUP(1,(PackingList[[#This Row],[Item]]=Database[Item])*(PackingList[[#This Row],[Brand]]=Database[Brand]),Database[Score],0))</f>
        <v>9.4252068830095688</v>
      </c>
      <c r="E138">
        <v>16</v>
      </c>
      <c r="F138" s="41" cm="1">
        <f t="array" ref="F138">IF(ISBLANK(PackingList[[#This Row],[Item]]),"", PackingList[[#This Row],[S]]* _xlfn.XLOOKUP(1,(PackingList[[#This Row],[Item]]=Database[Item])*(PackingList[[#This Row],[Brand]]=Database[Brand]),Database[Lb]/Database[S],0))</f>
        <v>0.34780126482286283</v>
      </c>
      <c r="G138" s="1">
        <f>IF(ISBLANK(PackingList[[#This Row],[Item]]),"",PackingList[[#This Row],[Lbs]]*16)</f>
        <v>5.5648202371658053</v>
      </c>
      <c r="H138" cm="1">
        <f t="array" ref="H138">IF(ISBLANK(PackingList[[#This Row],[Item]]),"", PackingList[[#This Row],[S]]* _xlfn.XLOOKUP(1,(PackingList[[#This Row],[Item]]=Database[Item])*(PackingList[[#This Row],[Brand]]=Database[Brand]),Database[C/S],0))</f>
        <v>1920</v>
      </c>
      <c r="I138" s="45" cm="1">
        <f t="array" ref="I138">IF(ISBLANK(PackingList[[#This Row],[Item]]),"", PackingList[[#This Row],[S]]* _xlfn.XLOOKUP(1,(PackingList[[#This Row],[Item]]=Database[Item])*(PackingList[[#This Row],[Brand]]=Database[Brand]),Database[$]/Database[S],0))</f>
        <v>4.3727668049792525</v>
      </c>
      <c r="J138" s="46" cm="1">
        <f t="array" ref="J138">IF(ISBLANK(PackingList[[#This Row],[Item]]),"", PackingList[[#This Row],[S]]* _xlfn.XLOOKUP(1,(PackingList[[#This Row],[Item]]=Database[Item])*(PackingList[[#This Row],[Brand]]=Database[Brand]),Database[Fat],0))</f>
        <v>2.88</v>
      </c>
      <c r="K138" s="46" cm="1">
        <f t="array" ref="K138">IF(ISBLANK(PackingList[[#This Row],[Item]]),"", PackingList[[#This Row],[S]]* _xlfn.XLOOKUP(1,(PackingList[[#This Row],[Item]]=Database[Item])*(PackingList[[#This Row],[Brand]]=Database[Brand]),Database[S Fat],0))</f>
        <v>1.6</v>
      </c>
      <c r="L138" s="46" cm="1">
        <f t="array" ref="L138">IF(ISBLANK(PackingList[[#This Row],[Item]]),"", PackingList[[#This Row],[S]]* _xlfn.XLOOKUP(1,(PackingList[[#This Row],[Item]]=Database[Item])*(PackingList[[#This Row],[Brand]]=Database[Brand]),Database[Chol],0))</f>
        <v>0</v>
      </c>
      <c r="M138" s="46" cm="1">
        <f t="array" ref="M138">IF(ISBLANK(PackingList[[#This Row],[Item]]),"", PackingList[[#This Row],[S]]* _xlfn.XLOOKUP(1,(PackingList[[#This Row],[Item]]=Database[Item])*(PackingList[[#This Row],[Brand]]=Database[Brand]),Database[Na],0))</f>
        <v>0</v>
      </c>
      <c r="N138" s="46" cm="1">
        <f t="array" ref="N138">IF(ISBLANK(PackingList[[#This Row],[Item]]),"", PackingList[[#This Row],[S]]* _xlfn.XLOOKUP(1,(PackingList[[#This Row],[Item]]=Database[Item])*(PackingList[[#This Row],[Brand]]=Database[Brand]),Database[Carb],0))</f>
        <v>0</v>
      </c>
      <c r="O138" s="46" cm="1">
        <f t="array" ref="O138">IF(ISBLANK(PackingList[[#This Row],[Item]]),"", PackingList[[#This Row],[S]]* _xlfn.XLOOKUP(1,(PackingList[[#This Row],[Item]]=Database[Item])*(PackingList[[#This Row],[Brand]]=Database[Brand]),Database[Fib],0))</f>
        <v>0</v>
      </c>
      <c r="P138" s="46" cm="1">
        <f t="array" ref="P138">IF(ISBLANK(PackingList[[#This Row],[Item]]),"", PackingList[[#This Row],[S]]* _xlfn.XLOOKUP(1,(PackingList[[#This Row],[Item]]=Database[Item])*(PackingList[[#This Row],[Brand]]=Database[Brand]),Database[A. Sug],0))</f>
        <v>0</v>
      </c>
      <c r="Q138" s="46" cm="1">
        <f t="array" ref="Q138">IF(ISBLANK(PackingList[[#This Row],[Item]]),"", PackingList[[#This Row],[S]]* _xlfn.XLOOKUP(1,(PackingList[[#This Row],[Item]]=Database[Item])*(PackingList[[#This Row],[Brand]]=Database[Brand]),Database[Pro],0))</f>
        <v>0</v>
      </c>
      <c r="R138" s="46" cm="1">
        <f t="array" ref="R138">IF(ISBLANK(PackingList[[#This Row],[Item]]),"", PackingList[[#This Row],[S]]* _xlfn.XLOOKUP(1,(PackingList[[#This Row],[Item]]=Database[Item])*(PackingList[[#This Row],[Brand]]=Database[Brand]),Database[Vit A],0))</f>
        <v>0</v>
      </c>
      <c r="S138" s="46" cm="1">
        <f t="array" ref="S138">IF(ISBLANK(PackingList[[#This Row],[Item]]),"", PackingList[[#This Row],[S]]* _xlfn.XLOOKUP(1,(PackingList[[#This Row],[Item]]=Database[Item])*(PackingList[[#This Row],[Brand]]=Database[Brand]),Database[Vit C],0))</f>
        <v>0</v>
      </c>
      <c r="T138" s="46" cm="1">
        <f t="array" ref="T138">IF(ISBLANK(PackingList[[#This Row],[Item]]),"", PackingList[[#This Row],[S]]* _xlfn.XLOOKUP(1,(PackingList[[#This Row],[Item]]=Database[Item])*(PackingList[[#This Row],[Brand]]=Database[Brand]),Database[Vit D],0))</f>
        <v>0</v>
      </c>
      <c r="U138" s="46" cm="1">
        <f t="array" ref="U138">IF(ISBLANK(PackingList[[#This Row],[Item]]),"", PackingList[[#This Row],[S]]* _xlfn.XLOOKUP(1,(PackingList[[#This Row],[Item]]=Database[Item])*(PackingList[[#This Row],[Brand]]=Database[Brand]),Database[Ca],0))</f>
        <v>0</v>
      </c>
      <c r="V138" s="47" cm="1">
        <f t="array" ref="V138">IF(ISBLANK(PackingList[[#This Row],[Item]]),"", PackingList[[#This Row],[S]]* _xlfn.XLOOKUP(1,(PackingList[[#This Row],[Item]]=Database[Item])*(PackingList[[#This Row],[Brand]]=Database[Brand]),Database[Fe],0))</f>
        <v>0</v>
      </c>
      <c r="W138" s="46" cm="1">
        <f t="array" ref="W138">IF(ISBLANK(PackingList[[#This Row],[Item]]),"", PackingList[[#This Row],[S]]* _xlfn.XLOOKUP(1,(PackingList[[#This Row],[Item]]=Database[Item])*(PackingList[[#This Row],[Brand]]=Database[Brand]),Database[K],0))</f>
        <v>0</v>
      </c>
      <c r="X138" s="44" t="str" cm="1">
        <f t="array" ref="X138:DU138">IFERROR(TRANSPOSE(_xlfn._xlws.SORT(IF(Database[Item]=PackingList[[#This Row],[Item]],Database[Brand],""),1,-1)), "")</f>
        <v>(Generic)</v>
      </c>
      <c r="Y138" t="str">
        <v/>
      </c>
      <c r="Z138" t="str">
        <v/>
      </c>
      <c r="AA138" t="str">
        <v/>
      </c>
      <c r="AB138" t="str">
        <v/>
      </c>
      <c r="AC138" t="str">
        <v/>
      </c>
      <c r="AD138" t="str">
        <v/>
      </c>
      <c r="AE138" t="str">
        <v/>
      </c>
      <c r="AF138" t="str">
        <v/>
      </c>
      <c r="AG138" t="str">
        <v/>
      </c>
      <c r="AH138" t="str">
        <v/>
      </c>
      <c r="AI138" t="str">
        <v/>
      </c>
      <c r="AJ138" t="str">
        <v/>
      </c>
      <c r="AK138" t="str">
        <v/>
      </c>
      <c r="AL138" t="str">
        <v/>
      </c>
      <c r="AM138" t="str">
        <v/>
      </c>
      <c r="AN138" t="str">
        <v/>
      </c>
      <c r="AO138" t="str">
        <v/>
      </c>
      <c r="AP138" t="str">
        <v/>
      </c>
      <c r="AQ138" t="str">
        <v/>
      </c>
      <c r="AR138" t="str">
        <v/>
      </c>
      <c r="AS138" t="str">
        <v/>
      </c>
      <c r="AT138" t="str">
        <v/>
      </c>
      <c r="AU138" t="str">
        <v/>
      </c>
      <c r="AV138" t="str">
        <v/>
      </c>
      <c r="AW138" t="str">
        <v/>
      </c>
      <c r="AX138" t="str">
        <v/>
      </c>
      <c r="AY138" t="str">
        <v/>
      </c>
      <c r="AZ138" t="str">
        <v/>
      </c>
      <c r="BA138" t="str">
        <v/>
      </c>
      <c r="BB138" t="str">
        <v/>
      </c>
      <c r="BC138" t="str">
        <v/>
      </c>
      <c r="BD138" t="str">
        <v/>
      </c>
      <c r="BE138" t="str">
        <v/>
      </c>
      <c r="BF138" t="str">
        <v/>
      </c>
      <c r="BG138" t="str">
        <v/>
      </c>
      <c r="BH138" t="str">
        <v/>
      </c>
      <c r="BI138" t="str">
        <v/>
      </c>
      <c r="BJ138" t="str">
        <v/>
      </c>
      <c r="BK138" t="str">
        <v/>
      </c>
      <c r="BL138" t="str">
        <v/>
      </c>
      <c r="BM138" t="str">
        <v/>
      </c>
      <c r="BN138" t="str">
        <v/>
      </c>
      <c r="BO138" t="str">
        <v/>
      </c>
      <c r="BP138" t="str">
        <v/>
      </c>
      <c r="BQ138" t="str">
        <v/>
      </c>
      <c r="BR138" t="str">
        <v/>
      </c>
      <c r="BS138" t="str">
        <v/>
      </c>
      <c r="BT138" t="str">
        <v/>
      </c>
      <c r="BU138" t="str">
        <v/>
      </c>
      <c r="BV138" t="str">
        <v/>
      </c>
      <c r="BW138" t="str">
        <v/>
      </c>
      <c r="BX138" t="str">
        <v/>
      </c>
      <c r="BY138" t="str">
        <v/>
      </c>
      <c r="BZ138" t="str">
        <v/>
      </c>
      <c r="CA138" t="str">
        <v/>
      </c>
      <c r="CB138" t="str">
        <v/>
      </c>
      <c r="CC138" t="str">
        <v/>
      </c>
      <c r="CD138" t="str">
        <v/>
      </c>
      <c r="CE138" t="str">
        <v/>
      </c>
      <c r="CF138" t="str">
        <v/>
      </c>
      <c r="CG138" t="str">
        <v/>
      </c>
      <c r="CH138" t="str">
        <v/>
      </c>
      <c r="CI138" t="str">
        <v/>
      </c>
      <c r="CJ138" t="str">
        <v/>
      </c>
      <c r="CK138" t="str">
        <v/>
      </c>
      <c r="CL138" t="str">
        <v/>
      </c>
      <c r="CM138" t="str">
        <v/>
      </c>
      <c r="CN138" t="str">
        <v/>
      </c>
      <c r="CO138" t="str">
        <v/>
      </c>
      <c r="CP138" t="str">
        <v/>
      </c>
      <c r="CQ138" t="str">
        <v/>
      </c>
      <c r="CR138" t="str">
        <v/>
      </c>
      <c r="CS138" t="str">
        <v/>
      </c>
      <c r="CT138" t="str">
        <v/>
      </c>
      <c r="CU138" t="str">
        <v/>
      </c>
      <c r="CV138" t="str">
        <v/>
      </c>
      <c r="CW138" t="str">
        <v/>
      </c>
      <c r="CX138" t="str">
        <v/>
      </c>
      <c r="CY138" t="str">
        <v/>
      </c>
      <c r="CZ138" t="str">
        <v/>
      </c>
      <c r="DA138" t="str">
        <v/>
      </c>
      <c r="DB138" t="str">
        <v/>
      </c>
      <c r="DC138" t="str">
        <v/>
      </c>
      <c r="DD138" t="str">
        <v/>
      </c>
      <c r="DE138" t="str">
        <v/>
      </c>
      <c r="DF138" t="str">
        <v/>
      </c>
      <c r="DG138" t="str">
        <v/>
      </c>
      <c r="DH138" t="str">
        <v/>
      </c>
      <c r="DI138" t="str">
        <v/>
      </c>
      <c r="DJ138" t="str">
        <v/>
      </c>
      <c r="DK138" t="str">
        <v/>
      </c>
      <c r="DL138" t="str">
        <v/>
      </c>
      <c r="DM138" t="str">
        <v/>
      </c>
      <c r="DN138" t="str">
        <v/>
      </c>
      <c r="DO138" t="str">
        <v/>
      </c>
      <c r="DP138" t="str">
        <v/>
      </c>
      <c r="DQ138" t="str">
        <v/>
      </c>
      <c r="DR138" t="str">
        <v/>
      </c>
      <c r="DS138" t="str">
        <v/>
      </c>
      <c r="DT138" t="str">
        <v/>
      </c>
      <c r="DU138" t="str">
        <v/>
      </c>
    </row>
    <row r="139" spans="1:125" x14ac:dyDescent="0.2">
      <c r="B139" t="s">
        <v>68</v>
      </c>
      <c r="C139" t="s">
        <v>65</v>
      </c>
      <c r="D139" s="71" cm="1">
        <f t="array" ref="D139">IF(ISBLANK(PackingList[[#This Row],[Item]]),"", _xlfn.XLOOKUP(1,(PackingList[[#This Row],[Item]]=Database[Item])*(PackingList[[#This Row],[Brand]]=Database[Brand]),Database[Score],0))</f>
        <v>9.6667927556555853</v>
      </c>
      <c r="E139">
        <v>25</v>
      </c>
      <c r="F139" s="41" cm="1">
        <f t="array" ref="F139">IF(ISBLANK(PackingList[[#This Row],[Item]]),"", PackingList[[#This Row],[S]]* _xlfn.XLOOKUP(1,(PackingList[[#This Row],[Item]]=Database[Item])*(PackingList[[#This Row],[Brand]]=Database[Brand]),Database[Lb]/Database[S],0))</f>
        <v>1.750470361747928</v>
      </c>
      <c r="G139" s="1">
        <f>IF(ISBLANK(PackingList[[#This Row],[Item]]),"",PackingList[[#This Row],[Lbs]]*16)</f>
        <v>28.007525787966848</v>
      </c>
      <c r="H139" cm="1">
        <f t="array" ref="H139">IF(ISBLANK(PackingList[[#This Row],[Item]]),"", PackingList[[#This Row],[S]]* _xlfn.XLOOKUP(1,(PackingList[[#This Row],[Item]]=Database[Item])*(PackingList[[#This Row],[Brand]]=Database[Brand]),Database[C/S],0))</f>
        <v>4750</v>
      </c>
      <c r="I139" s="45" cm="1">
        <f t="array" ref="I139">IF(ISBLANK(PackingList[[#This Row],[Item]]),"", PackingList[[#This Row],[S]]* _xlfn.XLOOKUP(1,(PackingList[[#This Row],[Item]]=Database[Item])*(PackingList[[#This Row],[Brand]]=Database[Brand]),Database[$]/Database[S],0))</f>
        <v>3.5900000000000003</v>
      </c>
      <c r="J139" s="46" cm="1">
        <f t="array" ref="J139">IF(ISBLANK(PackingList[[#This Row],[Item]]),"", PackingList[[#This Row],[S]]* _xlfn.XLOOKUP(1,(PackingList[[#This Row],[Item]]=Database[Item])*(PackingList[[#This Row],[Brand]]=Database[Brand]),Database[Fat],0))</f>
        <v>4.75</v>
      </c>
      <c r="K139" s="46" cm="1">
        <f t="array" ref="K139">IF(ISBLANK(PackingList[[#This Row],[Item]]),"", PackingList[[#This Row],[S]]* _xlfn.XLOOKUP(1,(PackingList[[#This Row],[Item]]=Database[Item])*(PackingList[[#This Row],[Brand]]=Database[Brand]),Database[S Fat],0))</f>
        <v>3.25</v>
      </c>
      <c r="L139" s="46" cm="1">
        <f t="array" ref="L139">IF(ISBLANK(PackingList[[#This Row],[Item]]),"", PackingList[[#This Row],[S]]* _xlfn.XLOOKUP(1,(PackingList[[#This Row],[Item]]=Database[Item])*(PackingList[[#This Row],[Brand]]=Database[Brand]),Database[Chol],0))</f>
        <v>0</v>
      </c>
      <c r="M139" s="46" cm="1">
        <f t="array" ref="M139">IF(ISBLANK(PackingList[[#This Row],[Item]]),"", PackingList[[#This Row],[S]]* _xlfn.XLOOKUP(1,(PackingList[[#This Row],[Item]]=Database[Item])*(PackingList[[#This Row],[Brand]]=Database[Brand]),Database[Na],0))</f>
        <v>1.5</v>
      </c>
      <c r="N139" s="46" cm="1">
        <f t="array" ref="N139">IF(ISBLANK(PackingList[[#This Row],[Item]]),"", PackingList[[#This Row],[S]]* _xlfn.XLOOKUP(1,(PackingList[[#This Row],[Item]]=Database[Item])*(PackingList[[#This Row],[Brand]]=Database[Brand]),Database[Carb],0))</f>
        <v>0.75</v>
      </c>
      <c r="O139" s="46" cm="1">
        <f t="array" ref="O139">IF(ISBLANK(PackingList[[#This Row],[Item]]),"", PackingList[[#This Row],[S]]* _xlfn.XLOOKUP(1,(PackingList[[#This Row],[Item]]=Database[Item])*(PackingList[[#This Row],[Brand]]=Database[Brand]),Database[Fib],0))</f>
        <v>1.7500000000000002</v>
      </c>
      <c r="P139" s="46" cm="1">
        <f t="array" ref="P139">IF(ISBLANK(PackingList[[#This Row],[Item]]),"", PackingList[[#This Row],[S]]* _xlfn.XLOOKUP(1,(PackingList[[#This Row],[Item]]=Database[Item])*(PackingList[[#This Row],[Brand]]=Database[Brand]),Database[A. Sug],0))</f>
        <v>1</v>
      </c>
      <c r="Q139" s="46" cm="1">
        <f t="array" ref="Q139">IF(ISBLANK(PackingList[[#This Row],[Item]]),"", PackingList[[#This Row],[S]]* _xlfn.XLOOKUP(1,(PackingList[[#This Row],[Item]]=Database[Item])*(PackingList[[#This Row],[Brand]]=Database[Brand]),Database[Pro],0))</f>
        <v>3.5000000000000004</v>
      </c>
      <c r="R139" s="46" cm="1">
        <f t="array" ref="R139">IF(ISBLANK(PackingList[[#This Row],[Item]]),"", PackingList[[#This Row],[S]]* _xlfn.XLOOKUP(1,(PackingList[[#This Row],[Item]]=Database[Item])*(PackingList[[#This Row],[Brand]]=Database[Brand]),Database[Vit A],0))</f>
        <v>0</v>
      </c>
      <c r="S139" s="46" cm="1">
        <f t="array" ref="S139">IF(ISBLANK(PackingList[[#This Row],[Item]]),"", PackingList[[#This Row],[S]]* _xlfn.XLOOKUP(1,(PackingList[[#This Row],[Item]]=Database[Item])*(PackingList[[#This Row],[Brand]]=Database[Brand]),Database[Vit C],0))</f>
        <v>0</v>
      </c>
      <c r="T139" s="46" cm="1">
        <f t="array" ref="T139">IF(ISBLANK(PackingList[[#This Row],[Item]]),"", PackingList[[#This Row],[S]]* _xlfn.XLOOKUP(1,(PackingList[[#This Row],[Item]]=Database[Item])*(PackingList[[#This Row],[Brand]]=Database[Brand]),Database[Vit D],0))</f>
        <v>0</v>
      </c>
      <c r="U139" s="46" cm="1">
        <f t="array" ref="U139">IF(ISBLANK(PackingList[[#This Row],[Item]]),"", PackingList[[#This Row],[S]]* _xlfn.XLOOKUP(1,(PackingList[[#This Row],[Item]]=Database[Item])*(PackingList[[#This Row],[Brand]]=Database[Brand]),Database[Ca],0))</f>
        <v>0</v>
      </c>
      <c r="V139" s="47" cm="1">
        <f t="array" ref="V139">IF(ISBLANK(PackingList[[#This Row],[Item]]),"", PackingList[[#This Row],[S]]* _xlfn.XLOOKUP(1,(PackingList[[#This Row],[Item]]=Database[Item])*(PackingList[[#This Row],[Brand]]=Database[Brand]),Database[Fe],0))</f>
        <v>1</v>
      </c>
      <c r="W139" s="46" cm="1">
        <f t="array" ref="W139">IF(ISBLANK(PackingList[[#This Row],[Item]]),"", PackingList[[#This Row],[S]]* _xlfn.XLOOKUP(1,(PackingList[[#This Row],[Item]]=Database[Item])*(PackingList[[#This Row],[Brand]]=Database[Brand]),Database[K],0))</f>
        <v>1</v>
      </c>
      <c r="X139" s="44" t="str" cm="1">
        <f t="array" ref="X139:DU139">IFERROR(TRANSPOSE(_xlfn._xlws.SORT(IF(Database[Item]=PackingList[[#This Row],[Item]],Database[Brand],""),1,-1)), "")</f>
        <v>Peter Pan</v>
      </c>
      <c r="Y139" t="str">
        <v>Jif</v>
      </c>
      <c r="Z139" t="str">
        <v>(Generic)</v>
      </c>
      <c r="AA139" t="str">
        <v/>
      </c>
      <c r="AB139" t="str">
        <v/>
      </c>
      <c r="AC139" t="str">
        <v/>
      </c>
      <c r="AD139" t="str">
        <v/>
      </c>
      <c r="AE139" t="str">
        <v/>
      </c>
      <c r="AF139" t="str">
        <v/>
      </c>
      <c r="AG139" t="str">
        <v/>
      </c>
      <c r="AH139" t="str">
        <v/>
      </c>
      <c r="AI139" t="str">
        <v/>
      </c>
      <c r="AJ139" t="str">
        <v/>
      </c>
      <c r="AK139" t="str">
        <v/>
      </c>
      <c r="AL139" t="str">
        <v/>
      </c>
      <c r="AM139" t="str">
        <v/>
      </c>
      <c r="AN139" t="str">
        <v/>
      </c>
      <c r="AO139" t="str">
        <v/>
      </c>
      <c r="AP139" t="str">
        <v/>
      </c>
      <c r="AQ139" t="str">
        <v/>
      </c>
      <c r="AR139" t="str">
        <v/>
      </c>
      <c r="AS139" t="str">
        <v/>
      </c>
      <c r="AT139" t="str">
        <v/>
      </c>
      <c r="AU139" t="str">
        <v/>
      </c>
      <c r="AV139" t="str">
        <v/>
      </c>
      <c r="AW139" t="str">
        <v/>
      </c>
      <c r="AX139" t="str">
        <v/>
      </c>
      <c r="AY139" t="str">
        <v/>
      </c>
      <c r="AZ139" t="str">
        <v/>
      </c>
      <c r="BA139" t="str">
        <v/>
      </c>
      <c r="BB139" t="str">
        <v/>
      </c>
      <c r="BC139" t="str">
        <v/>
      </c>
      <c r="BD139" t="str">
        <v/>
      </c>
      <c r="BE139" t="str">
        <v/>
      </c>
      <c r="BF139" t="str">
        <v/>
      </c>
      <c r="BG139" t="str">
        <v/>
      </c>
      <c r="BH139" t="str">
        <v/>
      </c>
      <c r="BI139" t="str">
        <v/>
      </c>
      <c r="BJ139" t="str">
        <v/>
      </c>
      <c r="BK139" t="str">
        <v/>
      </c>
      <c r="BL139" t="str">
        <v/>
      </c>
      <c r="BM139" t="str">
        <v/>
      </c>
      <c r="BN139" t="str">
        <v/>
      </c>
      <c r="BO139" t="str">
        <v/>
      </c>
      <c r="BP139" t="str">
        <v/>
      </c>
      <c r="BQ139" t="str">
        <v/>
      </c>
      <c r="BR139" t="str">
        <v/>
      </c>
      <c r="BS139" t="str">
        <v/>
      </c>
      <c r="BT139" t="str">
        <v/>
      </c>
      <c r="BU139" t="str">
        <v/>
      </c>
      <c r="BV139" t="str">
        <v/>
      </c>
      <c r="BW139" t="str">
        <v/>
      </c>
      <c r="BX139" t="str">
        <v/>
      </c>
      <c r="BY139" t="str">
        <v/>
      </c>
      <c r="BZ139" t="str">
        <v/>
      </c>
      <c r="CA139" t="str">
        <v/>
      </c>
      <c r="CB139" t="str">
        <v/>
      </c>
      <c r="CC139" t="str">
        <v/>
      </c>
      <c r="CD139" t="str">
        <v/>
      </c>
      <c r="CE139" t="str">
        <v/>
      </c>
      <c r="CF139" t="str">
        <v/>
      </c>
      <c r="CG139" t="str">
        <v/>
      </c>
      <c r="CH139" t="str">
        <v/>
      </c>
      <c r="CI139" t="str">
        <v/>
      </c>
      <c r="CJ139" t="str">
        <v/>
      </c>
      <c r="CK139" t="str">
        <v/>
      </c>
      <c r="CL139" t="str">
        <v/>
      </c>
      <c r="CM139" t="str">
        <v/>
      </c>
      <c r="CN139" t="str">
        <v/>
      </c>
      <c r="CO139" t="str">
        <v/>
      </c>
      <c r="CP139" t="str">
        <v/>
      </c>
      <c r="CQ139" t="str">
        <v/>
      </c>
      <c r="CR139" t="str">
        <v/>
      </c>
      <c r="CS139" t="str">
        <v/>
      </c>
      <c r="CT139" t="str">
        <v/>
      </c>
      <c r="CU139" t="str">
        <v/>
      </c>
      <c r="CV139" t="str">
        <v/>
      </c>
      <c r="CW139" t="str">
        <v/>
      </c>
      <c r="CX139" t="str">
        <v/>
      </c>
      <c r="CY139" t="str">
        <v/>
      </c>
      <c r="CZ139" t="str">
        <v/>
      </c>
      <c r="DA139" t="str">
        <v/>
      </c>
      <c r="DB139" t="str">
        <v/>
      </c>
      <c r="DC139" t="str">
        <v/>
      </c>
      <c r="DD139" t="str">
        <v/>
      </c>
      <c r="DE139" t="str">
        <v/>
      </c>
      <c r="DF139" t="str">
        <v/>
      </c>
      <c r="DG139" t="str">
        <v/>
      </c>
      <c r="DH139" t="str">
        <v/>
      </c>
      <c r="DI139" t="str">
        <v/>
      </c>
      <c r="DJ139" t="str">
        <v/>
      </c>
      <c r="DK139" t="str">
        <v/>
      </c>
      <c r="DL139" t="str">
        <v/>
      </c>
      <c r="DM139" t="str">
        <v/>
      </c>
      <c r="DN139" t="str">
        <v/>
      </c>
      <c r="DO139" t="str">
        <v/>
      </c>
      <c r="DP139" t="str">
        <v/>
      </c>
      <c r="DQ139" t="str">
        <v/>
      </c>
      <c r="DR139" t="str">
        <v/>
      </c>
      <c r="DS139" t="str">
        <v/>
      </c>
      <c r="DT139" t="str">
        <v/>
      </c>
      <c r="DU139" t="str">
        <v/>
      </c>
    </row>
    <row r="140" spans="1:125" x14ac:dyDescent="0.2">
      <c r="B140" t="s">
        <v>68</v>
      </c>
      <c r="C140" t="s">
        <v>105</v>
      </c>
      <c r="D140" s="71" cm="1">
        <f t="array" ref="D140">IF(ISBLANK(PackingList[[#This Row],[Item]]),"", _xlfn.XLOOKUP(1,(PackingList[[#This Row],[Item]]=Database[Item])*(PackingList[[#This Row],[Brand]]=Database[Brand]),Database[Score],0))</f>
        <v>6.9624918678926795</v>
      </c>
      <c r="E140">
        <v>30</v>
      </c>
      <c r="F140" s="41" cm="1">
        <f t="array" ref="F140">IF(ISBLANK(PackingList[[#This Row],[Item]]),"", PackingList[[#This Row],[S]]* _xlfn.XLOOKUP(1,(PackingList[[#This Row],[Item]]=Database[Item])*(PackingList[[#This Row],[Brand]]=Database[Brand]),Database[Lb]/Database[S],0))</f>
        <v>2.6455471462185312</v>
      </c>
      <c r="G140" s="1">
        <f>IF(ISBLANK(PackingList[[#This Row],[Item]]),"",PackingList[[#This Row],[Lbs]]*16)</f>
        <v>42.328754339496498</v>
      </c>
      <c r="H140" cm="1">
        <f t="array" ref="H140">IF(ISBLANK(PackingList[[#This Row],[Item]]),"", PackingList[[#This Row],[S]]* _xlfn.XLOOKUP(1,(PackingList[[#This Row],[Item]]=Database[Item])*(PackingList[[#This Row],[Brand]]=Database[Brand]),Database[C/S],0))</f>
        <v>4500</v>
      </c>
      <c r="I140" s="45" cm="1">
        <f t="array" ref="I140">IF(ISBLANK(PackingList[[#This Row],[Item]]),"", PackingList[[#This Row],[S]]* _xlfn.XLOOKUP(1,(PackingList[[#This Row],[Item]]=Database[Item])*(PackingList[[#This Row],[Brand]]=Database[Brand]),Database[$]/Database[S],0))</f>
        <v>4.326050420168067</v>
      </c>
      <c r="J140" s="46" cm="1">
        <f t="array" ref="J140">IF(ISBLANK(PackingList[[#This Row],[Item]]),"", PackingList[[#This Row],[S]]* _xlfn.XLOOKUP(1,(PackingList[[#This Row],[Item]]=Database[Item])*(PackingList[[#This Row],[Brand]]=Database[Brand]),Database[Fat],0))</f>
        <v>0.89999999999999991</v>
      </c>
      <c r="K140" s="46" cm="1">
        <f t="array" ref="K140">IF(ISBLANK(PackingList[[#This Row],[Item]]),"", PackingList[[#This Row],[S]]* _xlfn.XLOOKUP(1,(PackingList[[#This Row],[Item]]=Database[Item])*(PackingList[[#This Row],[Brand]]=Database[Brand]),Database[S Fat],0))</f>
        <v>0.89999999999999991</v>
      </c>
      <c r="L140" s="46" cm="1">
        <f t="array" ref="L140">IF(ISBLANK(PackingList[[#This Row],[Item]]),"", PackingList[[#This Row],[S]]* _xlfn.XLOOKUP(1,(PackingList[[#This Row],[Item]]=Database[Item])*(PackingList[[#This Row],[Brand]]=Database[Brand]),Database[Chol],0))</f>
        <v>0</v>
      </c>
      <c r="M140" s="46" cm="1">
        <f t="array" ref="M140">IF(ISBLANK(PackingList[[#This Row],[Item]]),"", PackingList[[#This Row],[S]]* _xlfn.XLOOKUP(1,(PackingList[[#This Row],[Item]]=Database[Item])*(PackingList[[#This Row],[Brand]]=Database[Brand]),Database[Na],0))</f>
        <v>0</v>
      </c>
      <c r="N140" s="46" cm="1">
        <f t="array" ref="N140">IF(ISBLANK(PackingList[[#This Row],[Item]]),"", PackingList[[#This Row],[S]]* _xlfn.XLOOKUP(1,(PackingList[[#This Row],[Item]]=Database[Item])*(PackingList[[#This Row],[Brand]]=Database[Brand]),Database[Carb],0))</f>
        <v>3</v>
      </c>
      <c r="O140" s="46" cm="1">
        <f t="array" ref="O140">IF(ISBLANK(PackingList[[#This Row],[Item]]),"", PackingList[[#This Row],[S]]* _xlfn.XLOOKUP(1,(PackingList[[#This Row],[Item]]=Database[Item])*(PackingList[[#This Row],[Brand]]=Database[Brand]),Database[Fib],0))</f>
        <v>4.2</v>
      </c>
      <c r="P140" s="46" cm="1">
        <f t="array" ref="P140">IF(ISBLANK(PackingList[[#This Row],[Item]]),"", PackingList[[#This Row],[S]]* _xlfn.XLOOKUP(1,(PackingList[[#This Row],[Item]]=Database[Item])*(PackingList[[#This Row],[Brand]]=Database[Brand]),Database[A. Sug],0))</f>
        <v>0</v>
      </c>
      <c r="Q140" s="46" cm="1">
        <f t="array" ref="Q140">IF(ISBLANK(PackingList[[#This Row],[Item]]),"", PackingList[[#This Row],[S]]* _xlfn.XLOOKUP(1,(PackingList[[#This Row],[Item]]=Database[Item])*(PackingList[[#This Row],[Brand]]=Database[Brand]),Database[Pro],0))</f>
        <v>3</v>
      </c>
      <c r="R140" s="46" cm="1">
        <f t="array" ref="R140">IF(ISBLANK(PackingList[[#This Row],[Item]]),"", PackingList[[#This Row],[S]]* _xlfn.XLOOKUP(1,(PackingList[[#This Row],[Item]]=Database[Item])*(PackingList[[#This Row],[Brand]]=Database[Brand]),Database[Vit A],0))</f>
        <v>0</v>
      </c>
      <c r="S140" s="46" cm="1">
        <f t="array" ref="S140">IF(ISBLANK(PackingList[[#This Row],[Item]]),"", PackingList[[#This Row],[S]]* _xlfn.XLOOKUP(1,(PackingList[[#This Row],[Item]]=Database[Item])*(PackingList[[#This Row],[Brand]]=Database[Brand]),Database[Vit C],0))</f>
        <v>0</v>
      </c>
      <c r="T140" s="46" cm="1">
        <f t="array" ref="T140">IF(ISBLANK(PackingList[[#This Row],[Item]]),"", PackingList[[#This Row],[S]]* _xlfn.XLOOKUP(1,(PackingList[[#This Row],[Item]]=Database[Item])*(PackingList[[#This Row],[Brand]]=Database[Brand]),Database[Vit D],0))</f>
        <v>0</v>
      </c>
      <c r="U140" s="46" cm="1">
        <f t="array" ref="U140">IF(ISBLANK(PackingList[[#This Row],[Item]]),"", PackingList[[#This Row],[S]]* _xlfn.XLOOKUP(1,(PackingList[[#This Row],[Item]]=Database[Item])*(PackingList[[#This Row],[Brand]]=Database[Brand]),Database[Ca],0))</f>
        <v>0</v>
      </c>
      <c r="V140" s="47" cm="1">
        <f t="array" ref="V140">IF(ISBLANK(PackingList[[#This Row],[Item]]),"", PackingList[[#This Row],[S]]* _xlfn.XLOOKUP(1,(PackingList[[#This Row],[Item]]=Database[Item])*(PackingList[[#This Row],[Brand]]=Database[Brand]),Database[Fe],0))</f>
        <v>2.4</v>
      </c>
      <c r="W140" s="46" cm="1">
        <f t="array" ref="W140">IF(ISBLANK(PackingList[[#This Row],[Item]]),"", PackingList[[#This Row],[S]]* _xlfn.XLOOKUP(1,(PackingList[[#This Row],[Item]]=Database[Item])*(PackingList[[#This Row],[Brand]]=Database[Brand]),Database[K],0))</f>
        <v>1.2</v>
      </c>
      <c r="X140" s="44" t="str" cm="1">
        <f t="array" ref="X140:DU140">IFERROR(TRANSPOSE(_xlfn._xlws.SORT(IF(Database[Item]=PackingList[[#This Row],[Item]],Database[Brand],""),1,-1)), "")</f>
        <v>(Generic)</v>
      </c>
      <c r="Y140" t="str">
        <v/>
      </c>
      <c r="Z140" t="str">
        <v/>
      </c>
      <c r="AA140" t="str">
        <v/>
      </c>
      <c r="AB140" t="str">
        <v/>
      </c>
      <c r="AC140" t="str">
        <v/>
      </c>
      <c r="AD140" t="str">
        <v/>
      </c>
      <c r="AE140" t="str">
        <v/>
      </c>
      <c r="AF140" t="str">
        <v/>
      </c>
      <c r="AG140" t="str">
        <v/>
      </c>
      <c r="AH140" t="str">
        <v/>
      </c>
      <c r="AI140" t="str">
        <v/>
      </c>
      <c r="AJ140" t="str">
        <v/>
      </c>
      <c r="AK140" t="str">
        <v/>
      </c>
      <c r="AL140" t="str">
        <v/>
      </c>
      <c r="AM140" t="str">
        <v/>
      </c>
      <c r="AN140" t="str">
        <v/>
      </c>
      <c r="AO140" t="str">
        <v/>
      </c>
      <c r="AP140" t="str">
        <v/>
      </c>
      <c r="AQ140" t="str">
        <v/>
      </c>
      <c r="AR140" t="str">
        <v/>
      </c>
      <c r="AS140" t="str">
        <v/>
      </c>
      <c r="AT140" t="str">
        <v/>
      </c>
      <c r="AU140" t="str">
        <v/>
      </c>
      <c r="AV140" t="str">
        <v/>
      </c>
      <c r="AW140" t="str">
        <v/>
      </c>
      <c r="AX140" t="str">
        <v/>
      </c>
      <c r="AY140" t="str">
        <v/>
      </c>
      <c r="AZ140" t="str">
        <v/>
      </c>
      <c r="BA140" t="str">
        <v/>
      </c>
      <c r="BB140" t="str">
        <v/>
      </c>
      <c r="BC140" t="str">
        <v/>
      </c>
      <c r="BD140" t="str">
        <v/>
      </c>
      <c r="BE140" t="str">
        <v/>
      </c>
      <c r="BF140" t="str">
        <v/>
      </c>
      <c r="BG140" t="str">
        <v/>
      </c>
      <c r="BH140" t="str">
        <v/>
      </c>
      <c r="BI140" t="str">
        <v/>
      </c>
      <c r="BJ140" t="str">
        <v/>
      </c>
      <c r="BK140" t="str">
        <v/>
      </c>
      <c r="BL140" t="str">
        <v/>
      </c>
      <c r="BM140" t="str">
        <v/>
      </c>
      <c r="BN140" t="str">
        <v/>
      </c>
      <c r="BO140" t="str">
        <v/>
      </c>
      <c r="BP140" t="str">
        <v/>
      </c>
      <c r="BQ140" t="str">
        <v/>
      </c>
      <c r="BR140" t="str">
        <v/>
      </c>
      <c r="BS140" t="str">
        <v/>
      </c>
      <c r="BT140" t="str">
        <v/>
      </c>
      <c r="BU140" t="str">
        <v/>
      </c>
      <c r="BV140" t="str">
        <v/>
      </c>
      <c r="BW140" t="str">
        <v/>
      </c>
      <c r="BX140" t="str">
        <v/>
      </c>
      <c r="BY140" t="str">
        <v/>
      </c>
      <c r="BZ140" t="str">
        <v/>
      </c>
      <c r="CA140" t="str">
        <v/>
      </c>
      <c r="CB140" t="str">
        <v/>
      </c>
      <c r="CC140" t="str">
        <v/>
      </c>
      <c r="CD140" t="str">
        <v/>
      </c>
      <c r="CE140" t="str">
        <v/>
      </c>
      <c r="CF140" t="str">
        <v/>
      </c>
      <c r="CG140" t="str">
        <v/>
      </c>
      <c r="CH140" t="str">
        <v/>
      </c>
      <c r="CI140" t="str">
        <v/>
      </c>
      <c r="CJ140" t="str">
        <v/>
      </c>
      <c r="CK140" t="str">
        <v/>
      </c>
      <c r="CL140" t="str">
        <v/>
      </c>
      <c r="CM140" t="str">
        <v/>
      </c>
      <c r="CN140" t="str">
        <v/>
      </c>
      <c r="CO140" t="str">
        <v/>
      </c>
      <c r="CP140" t="str">
        <v/>
      </c>
      <c r="CQ140" t="str">
        <v/>
      </c>
      <c r="CR140" t="str">
        <v/>
      </c>
      <c r="CS140" t="str">
        <v/>
      </c>
      <c r="CT140" t="str">
        <v/>
      </c>
      <c r="CU140" t="str">
        <v/>
      </c>
      <c r="CV140" t="str">
        <v/>
      </c>
      <c r="CW140" t="str">
        <v/>
      </c>
      <c r="CX140" t="str">
        <v/>
      </c>
      <c r="CY140" t="str">
        <v/>
      </c>
      <c r="CZ140" t="str">
        <v/>
      </c>
      <c r="DA140" t="str">
        <v/>
      </c>
      <c r="DB140" t="str">
        <v/>
      </c>
      <c r="DC140" t="str">
        <v/>
      </c>
      <c r="DD140" t="str">
        <v/>
      </c>
      <c r="DE140" t="str">
        <v/>
      </c>
      <c r="DF140" t="str">
        <v/>
      </c>
      <c r="DG140" t="str">
        <v/>
      </c>
      <c r="DH140" t="str">
        <v/>
      </c>
      <c r="DI140" t="str">
        <v/>
      </c>
      <c r="DJ140" t="str">
        <v/>
      </c>
      <c r="DK140" t="str">
        <v/>
      </c>
      <c r="DL140" t="str">
        <v/>
      </c>
      <c r="DM140" t="str">
        <v/>
      </c>
      <c r="DN140" t="str">
        <v/>
      </c>
      <c r="DO140" t="str">
        <v/>
      </c>
      <c r="DP140" t="str">
        <v/>
      </c>
      <c r="DQ140" t="str">
        <v/>
      </c>
      <c r="DR140" t="str">
        <v/>
      </c>
      <c r="DS140" t="str">
        <v/>
      </c>
      <c r="DT140" t="str">
        <v/>
      </c>
      <c r="DU140" t="str">
        <v/>
      </c>
    </row>
    <row r="141" spans="1:125" x14ac:dyDescent="0.2">
      <c r="B141" t="s">
        <v>68</v>
      </c>
      <c r="C141" t="s">
        <v>136</v>
      </c>
      <c r="D141" s="71" cm="1">
        <f t="array" ref="D141">IF(ISBLANK(PackingList[[#This Row],[Item]]),"", _xlfn.XLOOKUP(1,(PackingList[[#This Row],[Item]]=Database[Item])*(PackingList[[#This Row],[Brand]]=Database[Brand]),Database[Score],0))</f>
        <v>5.2600577532612958</v>
      </c>
      <c r="E141">
        <v>9</v>
      </c>
      <c r="F141" s="41" cm="1">
        <f t="array" ref="F141">IF(ISBLANK(PackingList[[#This Row],[Item]]),"", PackingList[[#This Row],[S]]* _xlfn.XLOOKUP(1,(PackingList[[#This Row],[Item]]=Database[Item])*(PackingList[[#This Row],[Brand]]=Database[Brand]),Database[Lb]/Database[S],0))</f>
        <v>0.79366414386555928</v>
      </c>
      <c r="G141" s="1">
        <f>IF(ISBLANK(PackingList[[#This Row],[Item]]),"",PackingList[[#This Row],[Lbs]]*16)</f>
        <v>12.698626301848948</v>
      </c>
      <c r="H141" cm="1">
        <f t="array" ref="H141">IF(ISBLANK(PackingList[[#This Row],[Item]]),"", PackingList[[#This Row],[S]]* _xlfn.XLOOKUP(1,(PackingList[[#This Row],[Item]]=Database[Item])*(PackingList[[#This Row],[Brand]]=Database[Brand]),Database[C/S],0))</f>
        <v>1260</v>
      </c>
      <c r="I141" s="45" cm="1">
        <f t="array" ref="I141">IF(ISBLANK(PackingList[[#This Row],[Item]]),"", PackingList[[#This Row],[S]]* _xlfn.XLOOKUP(1,(PackingList[[#This Row],[Item]]=Database[Item])*(PackingList[[#This Row],[Brand]]=Database[Brand]),Database[$]/Database[S],0))</f>
        <v>2.9541176470588235</v>
      </c>
      <c r="J141" s="46" cm="1">
        <f t="array" ref="J141">IF(ISBLANK(PackingList[[#This Row],[Item]]),"", PackingList[[#This Row],[S]]* _xlfn.XLOOKUP(1,(PackingList[[#This Row],[Item]]=Database[Item])*(PackingList[[#This Row],[Brand]]=Database[Brand]),Database[Fat],0))</f>
        <v>0</v>
      </c>
      <c r="K141" s="46" cm="1">
        <f t="array" ref="K141">IF(ISBLANK(PackingList[[#This Row],[Item]]),"", PackingList[[#This Row],[S]]* _xlfn.XLOOKUP(1,(PackingList[[#This Row],[Item]]=Database[Item])*(PackingList[[#This Row],[Brand]]=Database[Brand]),Database[S Fat],0))</f>
        <v>0</v>
      </c>
      <c r="L141" s="46" cm="1">
        <f t="array" ref="L141">IF(ISBLANK(PackingList[[#This Row],[Item]]),"", PackingList[[#This Row],[S]]* _xlfn.XLOOKUP(1,(PackingList[[#This Row],[Item]]=Database[Item])*(PackingList[[#This Row],[Brand]]=Database[Brand]),Database[Chol],0))</f>
        <v>0</v>
      </c>
      <c r="M141" s="46" cm="1">
        <f t="array" ref="M141">IF(ISBLANK(PackingList[[#This Row],[Item]]),"", PackingList[[#This Row],[S]]* _xlfn.XLOOKUP(1,(PackingList[[#This Row],[Item]]=Database[Item])*(PackingList[[#This Row],[Brand]]=Database[Brand]),Database[Na],0))</f>
        <v>0</v>
      </c>
      <c r="N141" s="46" cm="1">
        <f t="array" ref="N141">IF(ISBLANK(PackingList[[#This Row],[Item]]),"", PackingList[[#This Row],[S]]* _xlfn.XLOOKUP(1,(PackingList[[#This Row],[Item]]=Database[Item])*(PackingList[[#This Row],[Brand]]=Database[Brand]),Database[Carb],0))</f>
        <v>1.08</v>
      </c>
      <c r="O141" s="46" cm="1">
        <f t="array" ref="O141">IF(ISBLANK(PackingList[[#This Row],[Item]]),"", PackingList[[#This Row],[S]]* _xlfn.XLOOKUP(1,(PackingList[[#This Row],[Item]]=Database[Item])*(PackingList[[#This Row],[Brand]]=Database[Brand]),Database[Fib],0))</f>
        <v>0.36</v>
      </c>
      <c r="P141" s="46" cm="1">
        <f t="array" ref="P141">IF(ISBLANK(PackingList[[#This Row],[Item]]),"", PackingList[[#This Row],[S]]* _xlfn.XLOOKUP(1,(PackingList[[#This Row],[Item]]=Database[Item])*(PackingList[[#This Row],[Brand]]=Database[Brand]),Database[A. Sug],0))</f>
        <v>0</v>
      </c>
      <c r="Q141" s="46" cm="1">
        <f t="array" ref="Q141">IF(ISBLANK(PackingList[[#This Row],[Item]]),"", PackingList[[#This Row],[S]]* _xlfn.XLOOKUP(1,(PackingList[[#This Row],[Item]]=Database[Item])*(PackingList[[#This Row],[Brand]]=Database[Brand]),Database[Pro],0))</f>
        <v>0.18</v>
      </c>
      <c r="R141" s="46" cm="1">
        <f t="array" ref="R141">IF(ISBLANK(PackingList[[#This Row],[Item]]),"", PackingList[[#This Row],[S]]* _xlfn.XLOOKUP(1,(PackingList[[#This Row],[Item]]=Database[Item])*(PackingList[[#This Row],[Brand]]=Database[Brand]),Database[Vit A],0))</f>
        <v>0</v>
      </c>
      <c r="S141" s="46" cm="1">
        <f t="array" ref="S141">IF(ISBLANK(PackingList[[#This Row],[Item]]),"", PackingList[[#This Row],[S]]* _xlfn.XLOOKUP(1,(PackingList[[#This Row],[Item]]=Database[Item])*(PackingList[[#This Row],[Brand]]=Database[Brand]),Database[Vit C],0))</f>
        <v>0</v>
      </c>
      <c r="T141" s="46" cm="1">
        <f t="array" ref="T141">IF(ISBLANK(PackingList[[#This Row],[Item]]),"", PackingList[[#This Row],[S]]* _xlfn.XLOOKUP(1,(PackingList[[#This Row],[Item]]=Database[Item])*(PackingList[[#This Row],[Brand]]=Database[Brand]),Database[Vit D],0))</f>
        <v>0</v>
      </c>
      <c r="U141" s="46" cm="1">
        <f t="array" ref="U141">IF(ISBLANK(PackingList[[#This Row],[Item]]),"", PackingList[[#This Row],[S]]* _xlfn.XLOOKUP(1,(PackingList[[#This Row],[Item]]=Database[Item])*(PackingList[[#This Row],[Brand]]=Database[Brand]),Database[Ca],0))</f>
        <v>0.18</v>
      </c>
      <c r="V141" s="47" cm="1">
        <f t="array" ref="V141">IF(ISBLANK(PackingList[[#This Row],[Item]]),"", PackingList[[#This Row],[S]]* _xlfn.XLOOKUP(1,(PackingList[[#This Row],[Item]]=Database[Item])*(PackingList[[#This Row],[Brand]]=Database[Brand]),Database[Fe],0))</f>
        <v>0.36</v>
      </c>
      <c r="W141" s="46" cm="1">
        <f t="array" ref="W141">IF(ISBLANK(PackingList[[#This Row],[Item]]),"", PackingList[[#This Row],[S]]* _xlfn.XLOOKUP(1,(PackingList[[#This Row],[Item]]=Database[Item])*(PackingList[[#This Row],[Brand]]=Database[Brand]),Database[K],0))</f>
        <v>0.54</v>
      </c>
      <c r="X141" s="44" t="str" cm="1">
        <f t="array" ref="X141:DU141">IFERROR(TRANSPOSE(_xlfn._xlws.SORT(IF(Database[Item]=PackingList[[#This Row],[Item]],Database[Brand],""),1,-1)), "")</f>
        <v>(Generic)</v>
      </c>
      <c r="Y141" t="str">
        <v/>
      </c>
      <c r="Z141" t="str">
        <v/>
      </c>
      <c r="AA141" t="str">
        <v/>
      </c>
      <c r="AB141" t="str">
        <v/>
      </c>
      <c r="AC141" t="str">
        <v/>
      </c>
      <c r="AD141" t="str">
        <v/>
      </c>
      <c r="AE141" t="str">
        <v/>
      </c>
      <c r="AF141" t="str">
        <v/>
      </c>
      <c r="AG141" t="str">
        <v/>
      </c>
      <c r="AH141" t="str">
        <v/>
      </c>
      <c r="AI141" t="str">
        <v/>
      </c>
      <c r="AJ141" t="str">
        <v/>
      </c>
      <c r="AK141" t="str">
        <v/>
      </c>
      <c r="AL141" t="str">
        <v/>
      </c>
      <c r="AM141" t="str">
        <v/>
      </c>
      <c r="AN141" t="str">
        <v/>
      </c>
      <c r="AO141" t="str">
        <v/>
      </c>
      <c r="AP141" t="str">
        <v/>
      </c>
      <c r="AQ141" t="str">
        <v/>
      </c>
      <c r="AR141" t="str">
        <v/>
      </c>
      <c r="AS141" t="str">
        <v/>
      </c>
      <c r="AT141" t="str">
        <v/>
      </c>
      <c r="AU141" t="str">
        <v/>
      </c>
      <c r="AV141" t="str">
        <v/>
      </c>
      <c r="AW141" t="str">
        <v/>
      </c>
      <c r="AX141" t="str">
        <v/>
      </c>
      <c r="AY141" t="str">
        <v/>
      </c>
      <c r="AZ141" t="str">
        <v/>
      </c>
      <c r="BA141" t="str">
        <v/>
      </c>
      <c r="BB141" t="str">
        <v/>
      </c>
      <c r="BC141" t="str">
        <v/>
      </c>
      <c r="BD141" t="str">
        <v/>
      </c>
      <c r="BE141" t="str">
        <v/>
      </c>
      <c r="BF141" t="str">
        <v/>
      </c>
      <c r="BG141" t="str">
        <v/>
      </c>
      <c r="BH141" t="str">
        <v/>
      </c>
      <c r="BI141" t="str">
        <v/>
      </c>
      <c r="BJ141" t="str">
        <v/>
      </c>
      <c r="BK141" t="str">
        <v/>
      </c>
      <c r="BL141" t="str">
        <v/>
      </c>
      <c r="BM141" t="str">
        <v/>
      </c>
      <c r="BN141" t="str">
        <v/>
      </c>
      <c r="BO141" t="str">
        <v/>
      </c>
      <c r="BP141" t="str">
        <v/>
      </c>
      <c r="BQ141" t="str">
        <v/>
      </c>
      <c r="BR141" t="str">
        <v/>
      </c>
      <c r="BS141" t="str">
        <v/>
      </c>
      <c r="BT141" t="str">
        <v/>
      </c>
      <c r="BU141" t="str">
        <v/>
      </c>
      <c r="BV141" t="str">
        <v/>
      </c>
      <c r="BW141" t="str">
        <v/>
      </c>
      <c r="BX141" t="str">
        <v/>
      </c>
      <c r="BY141" t="str">
        <v/>
      </c>
      <c r="BZ141" t="str">
        <v/>
      </c>
      <c r="CA141" t="str">
        <v/>
      </c>
      <c r="CB141" t="str">
        <v/>
      </c>
      <c r="CC141" t="str">
        <v/>
      </c>
      <c r="CD141" t="str">
        <v/>
      </c>
      <c r="CE141" t="str">
        <v/>
      </c>
      <c r="CF141" t="str">
        <v/>
      </c>
      <c r="CG141" t="str">
        <v/>
      </c>
      <c r="CH141" t="str">
        <v/>
      </c>
      <c r="CI141" t="str">
        <v/>
      </c>
      <c r="CJ141" t="str">
        <v/>
      </c>
      <c r="CK141" t="str">
        <v/>
      </c>
      <c r="CL141" t="str">
        <v/>
      </c>
      <c r="CM141" t="str">
        <v/>
      </c>
      <c r="CN141" t="str">
        <v/>
      </c>
      <c r="CO141" t="str">
        <v/>
      </c>
      <c r="CP141" t="str">
        <v/>
      </c>
      <c r="CQ141" t="str">
        <v/>
      </c>
      <c r="CR141" t="str">
        <v/>
      </c>
      <c r="CS141" t="str">
        <v/>
      </c>
      <c r="CT141" t="str">
        <v/>
      </c>
      <c r="CU141" t="str">
        <v/>
      </c>
      <c r="CV141" t="str">
        <v/>
      </c>
      <c r="CW141" t="str">
        <v/>
      </c>
      <c r="CX141" t="str">
        <v/>
      </c>
      <c r="CY141" t="str">
        <v/>
      </c>
      <c r="CZ141" t="str">
        <v/>
      </c>
      <c r="DA141" t="str">
        <v/>
      </c>
      <c r="DB141" t="str">
        <v/>
      </c>
      <c r="DC141" t="str">
        <v/>
      </c>
      <c r="DD141" t="str">
        <v/>
      </c>
      <c r="DE141" t="str">
        <v/>
      </c>
      <c r="DF141" t="str">
        <v/>
      </c>
      <c r="DG141" t="str">
        <v/>
      </c>
      <c r="DH141" t="str">
        <v/>
      </c>
      <c r="DI141" t="str">
        <v/>
      </c>
      <c r="DJ141" t="str">
        <v/>
      </c>
      <c r="DK141" t="str">
        <v/>
      </c>
      <c r="DL141" t="str">
        <v/>
      </c>
      <c r="DM141" t="str">
        <v/>
      </c>
      <c r="DN141" t="str">
        <v/>
      </c>
      <c r="DO141" t="str">
        <v/>
      </c>
      <c r="DP141" t="str">
        <v/>
      </c>
      <c r="DQ141" t="str">
        <v/>
      </c>
      <c r="DR141" t="str">
        <v/>
      </c>
      <c r="DS141" t="str">
        <v/>
      </c>
      <c r="DT141" t="str">
        <v/>
      </c>
      <c r="DU141" t="str">
        <v/>
      </c>
    </row>
    <row r="142" spans="1:125" x14ac:dyDescent="0.2">
      <c r="B142" t="s">
        <v>68</v>
      </c>
      <c r="C142" t="s">
        <v>224</v>
      </c>
      <c r="D142" s="71" cm="1">
        <f t="array" ref="D142">IF(ISBLANK(PackingList[[#This Row],[Item]]),"", _xlfn.XLOOKUP(1,(PackingList[[#This Row],[Item]]=Database[Item])*(PackingList[[#This Row],[Brand]]=Database[Brand]),Database[Score],0))</f>
        <v>0.25863881730847327</v>
      </c>
      <c r="E142">
        <v>30</v>
      </c>
      <c r="F142" s="41" cm="1">
        <f t="array" ref="F142">IF(ISBLANK(PackingList[[#This Row],[Item]]),"", PackingList[[#This Row],[S]]* _xlfn.XLOOKUP(1,(PackingList[[#This Row],[Item]]=Database[Item])*(PackingList[[#This Row],[Brand]]=Database[Brand]),Database[Lb]/Database[S],0))</f>
        <v>9.920801798319491E-2</v>
      </c>
      <c r="G142" s="1">
        <f>IF(ISBLANK(PackingList[[#This Row],[Item]]),"",PackingList[[#This Row],[Lbs]]*16)</f>
        <v>1.5873282877311186</v>
      </c>
      <c r="H142" cm="1">
        <f t="array" ref="H142">IF(ISBLANK(PackingList[[#This Row],[Item]]),"", PackingList[[#This Row],[S]]* _xlfn.XLOOKUP(1,(PackingList[[#This Row],[Item]]=Database[Item])*(PackingList[[#This Row],[Brand]]=Database[Brand]),Database[C/S],0))</f>
        <v>0</v>
      </c>
      <c r="I142" s="45" cm="1">
        <f t="array" ref="I142">IF(ISBLANK(PackingList[[#This Row],[Item]]),"", PackingList[[#This Row],[S]]* _xlfn.XLOOKUP(1,(PackingList[[#This Row],[Item]]=Database[Item])*(PackingList[[#This Row],[Brand]]=Database[Brand]),Database[$]/Database[S],0))</f>
        <v>0</v>
      </c>
      <c r="J142" s="46" cm="1">
        <f t="array" ref="J142">IF(ISBLANK(PackingList[[#This Row],[Item]]),"", PackingList[[#This Row],[S]]* _xlfn.XLOOKUP(1,(PackingList[[#This Row],[Item]]=Database[Item])*(PackingList[[#This Row],[Brand]]=Database[Brand]),Database[Fat],0))</f>
        <v>0</v>
      </c>
      <c r="K142" s="46" cm="1">
        <f t="array" ref="K142">IF(ISBLANK(PackingList[[#This Row],[Item]]),"", PackingList[[#This Row],[S]]* _xlfn.XLOOKUP(1,(PackingList[[#This Row],[Item]]=Database[Item])*(PackingList[[#This Row],[Brand]]=Database[Brand]),Database[S Fat],0))</f>
        <v>0</v>
      </c>
      <c r="L142" s="46" cm="1">
        <f t="array" ref="L142">IF(ISBLANK(PackingList[[#This Row],[Item]]),"", PackingList[[#This Row],[S]]* _xlfn.XLOOKUP(1,(PackingList[[#This Row],[Item]]=Database[Item])*(PackingList[[#This Row],[Brand]]=Database[Brand]),Database[Chol],0))</f>
        <v>0</v>
      </c>
      <c r="M142" s="46" cm="1">
        <f t="array" ref="M142">IF(ISBLANK(PackingList[[#This Row],[Item]]),"", PackingList[[#This Row],[S]]* _xlfn.XLOOKUP(1,(PackingList[[#This Row],[Item]]=Database[Item])*(PackingList[[#This Row],[Brand]]=Database[Brand]),Database[Na],0))</f>
        <v>7.8000000000000007</v>
      </c>
      <c r="N142" s="46" cm="1">
        <f t="array" ref="N142">IF(ISBLANK(PackingList[[#This Row],[Item]]),"", PackingList[[#This Row],[S]]* _xlfn.XLOOKUP(1,(PackingList[[#This Row],[Item]]=Database[Item])*(PackingList[[#This Row],[Brand]]=Database[Brand]),Database[Carb],0))</f>
        <v>0</v>
      </c>
      <c r="O142" s="46" cm="1">
        <f t="array" ref="O142">IF(ISBLANK(PackingList[[#This Row],[Item]]),"", PackingList[[#This Row],[S]]* _xlfn.XLOOKUP(1,(PackingList[[#This Row],[Item]]=Database[Item])*(PackingList[[#This Row],[Brand]]=Database[Brand]),Database[Fib],0))</f>
        <v>0</v>
      </c>
      <c r="P142" s="46" cm="1">
        <f t="array" ref="P142">IF(ISBLANK(PackingList[[#This Row],[Item]]),"", PackingList[[#This Row],[S]]* _xlfn.XLOOKUP(1,(PackingList[[#This Row],[Item]]=Database[Item])*(PackingList[[#This Row],[Brand]]=Database[Brand]),Database[A. Sug],0))</f>
        <v>0</v>
      </c>
      <c r="Q142" s="46" cm="1">
        <f t="array" ref="Q142">IF(ISBLANK(PackingList[[#This Row],[Item]]),"", PackingList[[#This Row],[S]]* _xlfn.XLOOKUP(1,(PackingList[[#This Row],[Item]]=Database[Item])*(PackingList[[#This Row],[Brand]]=Database[Brand]),Database[Pro],0))</f>
        <v>0</v>
      </c>
      <c r="R142" s="46" cm="1">
        <f t="array" ref="R142">IF(ISBLANK(PackingList[[#This Row],[Item]]),"", PackingList[[#This Row],[S]]* _xlfn.XLOOKUP(1,(PackingList[[#This Row],[Item]]=Database[Item])*(PackingList[[#This Row],[Brand]]=Database[Brand]),Database[Vit A],0))</f>
        <v>0</v>
      </c>
      <c r="S142" s="46" cm="1">
        <f t="array" ref="S142">IF(ISBLANK(PackingList[[#This Row],[Item]]),"", PackingList[[#This Row],[S]]* _xlfn.XLOOKUP(1,(PackingList[[#This Row],[Item]]=Database[Item])*(PackingList[[#This Row],[Brand]]=Database[Brand]),Database[Vit C],0))</f>
        <v>0</v>
      </c>
      <c r="T142" s="46" cm="1">
        <f t="array" ref="T142">IF(ISBLANK(PackingList[[#This Row],[Item]]),"", PackingList[[#This Row],[S]]* _xlfn.XLOOKUP(1,(PackingList[[#This Row],[Item]]=Database[Item])*(PackingList[[#This Row],[Brand]]=Database[Brand]),Database[Vit D],0))</f>
        <v>0</v>
      </c>
      <c r="U142" s="46" cm="1">
        <f t="array" ref="U142">IF(ISBLANK(PackingList[[#This Row],[Item]]),"", PackingList[[#This Row],[S]]* _xlfn.XLOOKUP(1,(PackingList[[#This Row],[Item]]=Database[Item])*(PackingList[[#This Row],[Brand]]=Database[Brand]),Database[Ca],0))</f>
        <v>0</v>
      </c>
      <c r="V142" s="47" cm="1">
        <f t="array" ref="V142">IF(ISBLANK(PackingList[[#This Row],[Item]]),"", PackingList[[#This Row],[S]]* _xlfn.XLOOKUP(1,(PackingList[[#This Row],[Item]]=Database[Item])*(PackingList[[#This Row],[Brand]]=Database[Brand]),Database[Fe],0))</f>
        <v>0</v>
      </c>
      <c r="W142" s="46" cm="1">
        <f t="array" ref="W142">IF(ISBLANK(PackingList[[#This Row],[Item]]),"", PackingList[[#This Row],[S]]* _xlfn.XLOOKUP(1,(PackingList[[#This Row],[Item]]=Database[Item])*(PackingList[[#This Row],[Brand]]=Database[Brand]),Database[K],0))</f>
        <v>0</v>
      </c>
      <c r="X142" s="44" t="str" cm="1">
        <f t="array" ref="X142:DU142">IFERROR(TRANSPOSE(_xlfn._xlws.SORT(IF(Database[Item]=PackingList[[#This Row],[Item]],Database[Brand],""),1,-1)), "")</f>
        <v>(Generic)</v>
      </c>
      <c r="Y142" t="str">
        <v/>
      </c>
      <c r="Z142" t="str">
        <v/>
      </c>
      <c r="AA142" t="str">
        <v/>
      </c>
      <c r="AB142" t="str">
        <v/>
      </c>
      <c r="AC142" t="str">
        <v/>
      </c>
      <c r="AD142" t="str">
        <v/>
      </c>
      <c r="AE142" t="str">
        <v/>
      </c>
      <c r="AF142" t="str">
        <v/>
      </c>
      <c r="AG142" t="str">
        <v/>
      </c>
      <c r="AH142" t="str">
        <v/>
      </c>
      <c r="AI142" t="str">
        <v/>
      </c>
      <c r="AJ142" t="str">
        <v/>
      </c>
      <c r="AK142" t="str">
        <v/>
      </c>
      <c r="AL142" t="str">
        <v/>
      </c>
      <c r="AM142" t="str">
        <v/>
      </c>
      <c r="AN142" t="str">
        <v/>
      </c>
      <c r="AO142" t="str">
        <v/>
      </c>
      <c r="AP142" t="str">
        <v/>
      </c>
      <c r="AQ142" t="str">
        <v/>
      </c>
      <c r="AR142" t="str">
        <v/>
      </c>
      <c r="AS142" t="str">
        <v/>
      </c>
      <c r="AT142" t="str">
        <v/>
      </c>
      <c r="AU142" t="str">
        <v/>
      </c>
      <c r="AV142" t="str">
        <v/>
      </c>
      <c r="AW142" t="str">
        <v/>
      </c>
      <c r="AX142" t="str">
        <v/>
      </c>
      <c r="AY142" t="str">
        <v/>
      </c>
      <c r="AZ142" t="str">
        <v/>
      </c>
      <c r="BA142" t="str">
        <v/>
      </c>
      <c r="BB142" t="str">
        <v/>
      </c>
      <c r="BC142" t="str">
        <v/>
      </c>
      <c r="BD142" t="str">
        <v/>
      </c>
      <c r="BE142" t="str">
        <v/>
      </c>
      <c r="BF142" t="str">
        <v/>
      </c>
      <c r="BG142" t="str">
        <v/>
      </c>
      <c r="BH142" t="str">
        <v/>
      </c>
      <c r="BI142" t="str">
        <v/>
      </c>
      <c r="BJ142" t="str">
        <v/>
      </c>
      <c r="BK142" t="str">
        <v/>
      </c>
      <c r="BL142" t="str">
        <v/>
      </c>
      <c r="BM142" t="str">
        <v/>
      </c>
      <c r="BN142" t="str">
        <v/>
      </c>
      <c r="BO142" t="str">
        <v/>
      </c>
      <c r="BP142" t="str">
        <v/>
      </c>
      <c r="BQ142" t="str">
        <v/>
      </c>
      <c r="BR142" t="str">
        <v/>
      </c>
      <c r="BS142" t="str">
        <v/>
      </c>
      <c r="BT142" t="str">
        <v/>
      </c>
      <c r="BU142" t="str">
        <v/>
      </c>
      <c r="BV142" t="str">
        <v/>
      </c>
      <c r="BW142" t="str">
        <v/>
      </c>
      <c r="BX142" t="str">
        <v/>
      </c>
      <c r="BY142" t="str">
        <v/>
      </c>
      <c r="BZ142" t="str">
        <v/>
      </c>
      <c r="CA142" t="str">
        <v/>
      </c>
      <c r="CB142" t="str">
        <v/>
      </c>
      <c r="CC142" t="str">
        <v/>
      </c>
      <c r="CD142" t="str">
        <v/>
      </c>
      <c r="CE142" t="str">
        <v/>
      </c>
      <c r="CF142" t="str">
        <v/>
      </c>
      <c r="CG142" t="str">
        <v/>
      </c>
      <c r="CH142" t="str">
        <v/>
      </c>
      <c r="CI142" t="str">
        <v/>
      </c>
      <c r="CJ142" t="str">
        <v/>
      </c>
      <c r="CK142" t="str">
        <v/>
      </c>
      <c r="CL142" t="str">
        <v/>
      </c>
      <c r="CM142" t="str">
        <v/>
      </c>
      <c r="CN142" t="str">
        <v/>
      </c>
      <c r="CO142" t="str">
        <v/>
      </c>
      <c r="CP142" t="str">
        <v/>
      </c>
      <c r="CQ142" t="str">
        <v/>
      </c>
      <c r="CR142" t="str">
        <v/>
      </c>
      <c r="CS142" t="str">
        <v/>
      </c>
      <c r="CT142" t="str">
        <v/>
      </c>
      <c r="CU142" t="str">
        <v/>
      </c>
      <c r="CV142" t="str">
        <v/>
      </c>
      <c r="CW142" t="str">
        <v/>
      </c>
      <c r="CX142" t="str">
        <v/>
      </c>
      <c r="CY142" t="str">
        <v/>
      </c>
      <c r="CZ142" t="str">
        <v/>
      </c>
      <c r="DA142" t="str">
        <v/>
      </c>
      <c r="DB142" t="str">
        <v/>
      </c>
      <c r="DC142" t="str">
        <v/>
      </c>
      <c r="DD142" t="str">
        <v/>
      </c>
      <c r="DE142" t="str">
        <v/>
      </c>
      <c r="DF142" t="str">
        <v/>
      </c>
      <c r="DG142" t="str">
        <v/>
      </c>
      <c r="DH142" t="str">
        <v/>
      </c>
      <c r="DI142" t="str">
        <v/>
      </c>
      <c r="DJ142" t="str">
        <v/>
      </c>
      <c r="DK142" t="str">
        <v/>
      </c>
      <c r="DL142" t="str">
        <v/>
      </c>
      <c r="DM142" t="str">
        <v/>
      </c>
      <c r="DN142" t="str">
        <v/>
      </c>
      <c r="DO142" t="str">
        <v/>
      </c>
      <c r="DP142" t="str">
        <v/>
      </c>
      <c r="DQ142" t="str">
        <v/>
      </c>
      <c r="DR142" t="str">
        <v/>
      </c>
      <c r="DS142" t="str">
        <v/>
      </c>
      <c r="DT142" t="str">
        <v/>
      </c>
      <c r="DU142" t="str">
        <v/>
      </c>
    </row>
    <row r="143" spans="1:125" x14ac:dyDescent="0.2">
      <c r="B143" t="s">
        <v>174</v>
      </c>
      <c r="C143" t="s">
        <v>173</v>
      </c>
      <c r="D143" s="71" cm="1">
        <f t="array" ref="D143">IF(ISBLANK(PackingList[[#This Row],[Item]]),"", _xlfn.XLOOKUP(1,(PackingList[[#This Row],[Item]]=Database[Item])*(PackingList[[#This Row],[Brand]]=Database[Brand]),Database[Score],0))</f>
        <v>3.9425479259189791</v>
      </c>
      <c r="E143">
        <v>10</v>
      </c>
      <c r="F143" s="41" cm="1">
        <f t="array" ref="F143">IF(ISBLANK(PackingList[[#This Row],[Item]]),"", PackingList[[#This Row],[S]]* _xlfn.XLOOKUP(1,(PackingList[[#This Row],[Item]]=Database[Item])*(PackingList[[#This Row],[Brand]]=Database[Brand]),Database[Lb]/Database[S],0))</f>
        <v>1.0008986703193441</v>
      </c>
      <c r="G143" s="1">
        <f>IF(ISBLANK(PackingList[[#This Row],[Item]]),"",PackingList[[#This Row],[Lbs]]*16)</f>
        <v>16.014378725109506</v>
      </c>
      <c r="H143" cm="1">
        <f t="array" ref="H143">IF(ISBLANK(PackingList[[#This Row],[Item]]),"", PackingList[[#This Row],[S]]* _xlfn.XLOOKUP(1,(PackingList[[#This Row],[Item]]=Database[Item])*(PackingList[[#This Row],[Brand]]=Database[Brand]),Database[C/S],0))</f>
        <v>1400</v>
      </c>
      <c r="I143" s="45" cm="1">
        <f t="array" ref="I143">IF(ISBLANK(PackingList[[#This Row],[Item]]),"", PackingList[[#This Row],[S]]* _xlfn.XLOOKUP(1,(PackingList[[#This Row],[Item]]=Database[Item])*(PackingList[[#This Row],[Brand]]=Database[Brand]),Database[$]/Database[S],0))</f>
        <v>3.39</v>
      </c>
      <c r="J143" s="46" cm="1">
        <f t="array" ref="J143">IF(ISBLANK(PackingList[[#This Row],[Item]]),"", PackingList[[#This Row],[S]]* _xlfn.XLOOKUP(1,(PackingList[[#This Row],[Item]]=Database[Item])*(PackingList[[#This Row],[Brand]]=Database[Brand]),Database[Fat],0))</f>
        <v>0.5</v>
      </c>
      <c r="K143" s="46" cm="1">
        <f t="array" ref="K143">IF(ISBLANK(PackingList[[#This Row],[Item]]),"", PackingList[[#This Row],[S]]* _xlfn.XLOOKUP(1,(PackingList[[#This Row],[Item]]=Database[Item])*(PackingList[[#This Row],[Brand]]=Database[Brand]),Database[S Fat],0))</f>
        <v>1</v>
      </c>
      <c r="L143" s="46" cm="1">
        <f t="array" ref="L143">IF(ISBLANK(PackingList[[#This Row],[Item]]),"", PackingList[[#This Row],[S]]* _xlfn.XLOOKUP(1,(PackingList[[#This Row],[Item]]=Database[Item])*(PackingList[[#This Row],[Brand]]=Database[Brand]),Database[Chol],0))</f>
        <v>0</v>
      </c>
      <c r="M143" s="46" cm="1">
        <f t="array" ref="M143">IF(ISBLANK(PackingList[[#This Row],[Item]]),"", PackingList[[#This Row],[S]]* _xlfn.XLOOKUP(1,(PackingList[[#This Row],[Item]]=Database[Item])*(PackingList[[#This Row],[Brand]]=Database[Brand]),Database[Na],0))</f>
        <v>1</v>
      </c>
      <c r="N143" s="46" cm="1">
        <f t="array" ref="N143">IF(ISBLANK(PackingList[[#This Row],[Item]]),"", PackingList[[#This Row],[S]]* _xlfn.XLOOKUP(1,(PackingList[[#This Row],[Item]]=Database[Item])*(PackingList[[#This Row],[Brand]]=Database[Brand]),Database[Carb],0))</f>
        <v>0.8</v>
      </c>
      <c r="O143" s="46" cm="1">
        <f t="array" ref="O143">IF(ISBLANK(PackingList[[#This Row],[Item]]),"", PackingList[[#This Row],[S]]* _xlfn.XLOOKUP(1,(PackingList[[#This Row],[Item]]=Database[Item])*(PackingList[[#This Row],[Brand]]=Database[Brand]),Database[Fib],0))</f>
        <v>0.4</v>
      </c>
      <c r="P143" s="46" cm="1">
        <f t="array" ref="P143">IF(ISBLANK(PackingList[[#This Row],[Item]]),"", PackingList[[#This Row],[S]]* _xlfn.XLOOKUP(1,(PackingList[[#This Row],[Item]]=Database[Item])*(PackingList[[#This Row],[Brand]]=Database[Brand]),Database[A. Sug],0))</f>
        <v>0</v>
      </c>
      <c r="Q143" s="46" cm="1">
        <f t="array" ref="Q143">IF(ISBLANK(PackingList[[#This Row],[Item]]),"", PackingList[[#This Row],[S]]* _xlfn.XLOOKUP(1,(PackingList[[#This Row],[Item]]=Database[Item])*(PackingList[[#This Row],[Brand]]=Database[Brand]),Database[Pro],0))</f>
        <v>0.6</v>
      </c>
      <c r="R143" s="46" cm="1">
        <f t="array" ref="R143">IF(ISBLANK(PackingList[[#This Row],[Item]]),"", PackingList[[#This Row],[S]]* _xlfn.XLOOKUP(1,(PackingList[[#This Row],[Item]]=Database[Item])*(PackingList[[#This Row],[Brand]]=Database[Brand]),Database[Vit A],0))</f>
        <v>0</v>
      </c>
      <c r="S143" s="46" cm="1">
        <f t="array" ref="S143">IF(ISBLANK(PackingList[[#This Row],[Item]]),"", PackingList[[#This Row],[S]]* _xlfn.XLOOKUP(1,(PackingList[[#This Row],[Item]]=Database[Item])*(PackingList[[#This Row],[Brand]]=Database[Brand]),Database[Vit C],0))</f>
        <v>0</v>
      </c>
      <c r="T143" s="46" cm="1">
        <f t="array" ref="T143">IF(ISBLANK(PackingList[[#This Row],[Item]]),"", PackingList[[#This Row],[S]]* _xlfn.XLOOKUP(1,(PackingList[[#This Row],[Item]]=Database[Item])*(PackingList[[#This Row],[Brand]]=Database[Brand]),Database[Vit D],0))</f>
        <v>0</v>
      </c>
      <c r="U143" s="46" cm="1">
        <f t="array" ref="U143">IF(ISBLANK(PackingList[[#This Row],[Item]]),"", PackingList[[#This Row],[S]]* _xlfn.XLOOKUP(1,(PackingList[[#This Row],[Item]]=Database[Item])*(PackingList[[#This Row],[Brand]]=Database[Brand]),Database[Ca],0))</f>
        <v>0.4</v>
      </c>
      <c r="V143" s="47" cm="1">
        <f t="array" ref="V143">IF(ISBLANK(PackingList[[#This Row],[Item]]),"", PackingList[[#This Row],[S]]* _xlfn.XLOOKUP(1,(PackingList[[#This Row],[Item]]=Database[Item])*(PackingList[[#This Row],[Brand]]=Database[Brand]),Database[Fe],0))</f>
        <v>0.6</v>
      </c>
      <c r="W143" s="46" cm="1">
        <f t="array" ref="W143">IF(ISBLANK(PackingList[[#This Row],[Item]]),"", PackingList[[#This Row],[S]]* _xlfn.XLOOKUP(1,(PackingList[[#This Row],[Item]]=Database[Item])*(PackingList[[#This Row],[Brand]]=Database[Brand]),Database[K],0))</f>
        <v>0</v>
      </c>
      <c r="X143" s="44" t="str" cm="1">
        <f t="array" ref="X143:DU143">IFERROR(TRANSPOSE(_xlfn._xlws.SORT(IF(Database[Item]=PackingList[[#This Row],[Item]],Database[Brand],""),1,-1)), "")</f>
        <v>Olé</v>
      </c>
      <c r="Y143" t="str">
        <v>Mission</v>
      </c>
      <c r="Z143" t="str">
        <v>La Banderita</v>
      </c>
      <c r="AA143" t="str">
        <v/>
      </c>
      <c r="AB143" t="str">
        <v/>
      </c>
      <c r="AC143" t="str">
        <v/>
      </c>
      <c r="AD143" t="str">
        <v/>
      </c>
      <c r="AE143" t="str">
        <v/>
      </c>
      <c r="AF143" t="str">
        <v/>
      </c>
      <c r="AG143" t="str">
        <v/>
      </c>
      <c r="AH143" t="str">
        <v/>
      </c>
      <c r="AI143" t="str">
        <v/>
      </c>
      <c r="AJ143" t="str">
        <v/>
      </c>
      <c r="AK143" t="str">
        <v/>
      </c>
      <c r="AL143" t="str">
        <v/>
      </c>
      <c r="AM143" t="str">
        <v/>
      </c>
      <c r="AN143" t="str">
        <v/>
      </c>
      <c r="AO143" t="str">
        <v/>
      </c>
      <c r="AP143" t="str">
        <v/>
      </c>
      <c r="AQ143" t="str">
        <v/>
      </c>
      <c r="AR143" t="str">
        <v/>
      </c>
      <c r="AS143" t="str">
        <v/>
      </c>
      <c r="AT143" t="str">
        <v/>
      </c>
      <c r="AU143" t="str">
        <v/>
      </c>
      <c r="AV143" t="str">
        <v/>
      </c>
      <c r="AW143" t="str">
        <v/>
      </c>
      <c r="AX143" t="str">
        <v/>
      </c>
      <c r="AY143" t="str">
        <v/>
      </c>
      <c r="AZ143" t="str">
        <v/>
      </c>
      <c r="BA143" t="str">
        <v/>
      </c>
      <c r="BB143" t="str">
        <v/>
      </c>
      <c r="BC143" t="str">
        <v/>
      </c>
      <c r="BD143" t="str">
        <v/>
      </c>
      <c r="BE143" t="str">
        <v/>
      </c>
      <c r="BF143" t="str">
        <v/>
      </c>
      <c r="BG143" t="str">
        <v/>
      </c>
      <c r="BH143" t="str">
        <v/>
      </c>
      <c r="BI143" t="str">
        <v/>
      </c>
      <c r="BJ143" t="str">
        <v/>
      </c>
      <c r="BK143" t="str">
        <v/>
      </c>
      <c r="BL143" t="str">
        <v/>
      </c>
      <c r="BM143" t="str">
        <v/>
      </c>
      <c r="BN143" t="str">
        <v/>
      </c>
      <c r="BO143" t="str">
        <v/>
      </c>
      <c r="BP143" t="str">
        <v/>
      </c>
      <c r="BQ143" t="str">
        <v/>
      </c>
      <c r="BR143" t="str">
        <v/>
      </c>
      <c r="BS143" t="str">
        <v/>
      </c>
      <c r="BT143" t="str">
        <v/>
      </c>
      <c r="BU143" t="str">
        <v/>
      </c>
      <c r="BV143" t="str">
        <v/>
      </c>
      <c r="BW143" t="str">
        <v/>
      </c>
      <c r="BX143" t="str">
        <v/>
      </c>
      <c r="BY143" t="str">
        <v/>
      </c>
      <c r="BZ143" t="str">
        <v/>
      </c>
      <c r="CA143" t="str">
        <v/>
      </c>
      <c r="CB143" t="str">
        <v/>
      </c>
      <c r="CC143" t="str">
        <v/>
      </c>
      <c r="CD143" t="str">
        <v/>
      </c>
      <c r="CE143" t="str">
        <v/>
      </c>
      <c r="CF143" t="str">
        <v/>
      </c>
      <c r="CG143" t="str">
        <v/>
      </c>
      <c r="CH143" t="str">
        <v/>
      </c>
      <c r="CI143" t="str">
        <v/>
      </c>
      <c r="CJ143" t="str">
        <v/>
      </c>
      <c r="CK143" t="str">
        <v/>
      </c>
      <c r="CL143" t="str">
        <v/>
      </c>
      <c r="CM143" t="str">
        <v/>
      </c>
      <c r="CN143" t="str">
        <v/>
      </c>
      <c r="CO143" t="str">
        <v/>
      </c>
      <c r="CP143" t="str">
        <v/>
      </c>
      <c r="CQ143" t="str">
        <v/>
      </c>
      <c r="CR143" t="str">
        <v/>
      </c>
      <c r="CS143" t="str">
        <v/>
      </c>
      <c r="CT143" t="str">
        <v/>
      </c>
      <c r="CU143" t="str">
        <v/>
      </c>
      <c r="CV143" t="str">
        <v/>
      </c>
      <c r="CW143" t="str">
        <v/>
      </c>
      <c r="CX143" t="str">
        <v/>
      </c>
      <c r="CY143" t="str">
        <v/>
      </c>
      <c r="CZ143" t="str">
        <v/>
      </c>
      <c r="DA143" t="str">
        <v/>
      </c>
      <c r="DB143" t="str">
        <v/>
      </c>
      <c r="DC143" t="str">
        <v/>
      </c>
      <c r="DD143" t="str">
        <v/>
      </c>
      <c r="DE143" t="str">
        <v/>
      </c>
      <c r="DF143" t="str">
        <v/>
      </c>
      <c r="DG143" t="str">
        <v/>
      </c>
      <c r="DH143" t="str">
        <v/>
      </c>
      <c r="DI143" t="str">
        <v/>
      </c>
      <c r="DJ143" t="str">
        <v/>
      </c>
      <c r="DK143" t="str">
        <v/>
      </c>
      <c r="DL143" t="str">
        <v/>
      </c>
      <c r="DM143" t="str">
        <v/>
      </c>
      <c r="DN143" t="str">
        <v/>
      </c>
      <c r="DO143" t="str">
        <v/>
      </c>
      <c r="DP143" t="str">
        <v/>
      </c>
      <c r="DQ143" t="str">
        <v/>
      </c>
      <c r="DR143" t="str">
        <v/>
      </c>
      <c r="DS143" t="str">
        <v/>
      </c>
      <c r="DT143" t="str">
        <v/>
      </c>
      <c r="DU143" t="str">
        <v/>
      </c>
    </row>
    <row r="144" spans="1:125" x14ac:dyDescent="0.2">
      <c r="B144"/>
      <c r="D144" s="71" t="str" cm="1">
        <f t="array" ref="D144">IF(ISBLANK(PackingList[[#This Row],[Item]]),"", _xlfn.XLOOKUP(1,(PackingList[[#This Row],[Item]]=Database[Item])*(PackingList[[#This Row],[Brand]]=Database[Brand]),Database[Score],0))</f>
        <v/>
      </c>
      <c r="E144"/>
      <c r="F144" s="41" t="str" cm="1">
        <f t="array" ref="F144">IF(ISBLANK(PackingList[[#This Row],[Item]]),"", PackingList[[#This Row],[S]]* _xlfn.XLOOKUP(1,(PackingList[[#This Row],[Item]]=Database[Item])*(PackingList[[#This Row],[Brand]]=Database[Brand]),Database[Lb]/Database[S],0))</f>
        <v/>
      </c>
      <c r="G144" s="1" t="str">
        <f>IF(ISBLANK(PackingList[[#This Row],[Item]]),"",PackingList[[#This Row],[Lbs]]*16)</f>
        <v/>
      </c>
      <c r="H144" t="str" cm="1">
        <f t="array" ref="H144">IF(ISBLANK(PackingList[[#This Row],[Item]]),"", PackingList[[#This Row],[S]]* _xlfn.XLOOKUP(1,(PackingList[[#This Row],[Item]]=Database[Item])*(PackingList[[#This Row],[Brand]]=Database[Brand]),Database[C/S],0))</f>
        <v/>
      </c>
      <c r="I144" s="45" t="str" cm="1">
        <f t="array" ref="I144">IF(ISBLANK(PackingList[[#This Row],[Item]]),"", PackingList[[#This Row],[S]]* _xlfn.XLOOKUP(1,(PackingList[[#This Row],[Item]]=Database[Item])*(PackingList[[#This Row],[Brand]]=Database[Brand]),Database[$]/Database[S],0))</f>
        <v/>
      </c>
      <c r="J144" s="46" t="str" cm="1">
        <f t="array" ref="J144">IF(ISBLANK(PackingList[[#This Row],[Item]]),"", PackingList[[#This Row],[S]]* _xlfn.XLOOKUP(1,(PackingList[[#This Row],[Item]]=Database[Item])*(PackingList[[#This Row],[Brand]]=Database[Brand]),Database[Fat],0))</f>
        <v/>
      </c>
      <c r="K144" s="46" t="str" cm="1">
        <f t="array" ref="K144">IF(ISBLANK(PackingList[[#This Row],[Item]]),"", PackingList[[#This Row],[S]]* _xlfn.XLOOKUP(1,(PackingList[[#This Row],[Item]]=Database[Item])*(PackingList[[#This Row],[Brand]]=Database[Brand]),Database[S Fat],0))</f>
        <v/>
      </c>
      <c r="L144" s="46" t="str" cm="1">
        <f t="array" ref="L144">IF(ISBLANK(PackingList[[#This Row],[Item]]),"", PackingList[[#This Row],[S]]* _xlfn.XLOOKUP(1,(PackingList[[#This Row],[Item]]=Database[Item])*(PackingList[[#This Row],[Brand]]=Database[Brand]),Database[Chol],0))</f>
        <v/>
      </c>
      <c r="M144" s="46" t="str" cm="1">
        <f t="array" ref="M144">IF(ISBLANK(PackingList[[#This Row],[Item]]),"", PackingList[[#This Row],[S]]* _xlfn.XLOOKUP(1,(PackingList[[#This Row],[Item]]=Database[Item])*(PackingList[[#This Row],[Brand]]=Database[Brand]),Database[Na],0))</f>
        <v/>
      </c>
      <c r="N144" s="46" t="str" cm="1">
        <f t="array" ref="N144">IF(ISBLANK(PackingList[[#This Row],[Item]]),"", PackingList[[#This Row],[S]]* _xlfn.XLOOKUP(1,(PackingList[[#This Row],[Item]]=Database[Item])*(PackingList[[#This Row],[Brand]]=Database[Brand]),Database[Carb],0))</f>
        <v/>
      </c>
      <c r="O144" s="46" t="str" cm="1">
        <f t="array" ref="O144">IF(ISBLANK(PackingList[[#This Row],[Item]]),"", PackingList[[#This Row],[S]]* _xlfn.XLOOKUP(1,(PackingList[[#This Row],[Item]]=Database[Item])*(PackingList[[#This Row],[Brand]]=Database[Brand]),Database[Fib],0))</f>
        <v/>
      </c>
      <c r="P144" s="46" t="str" cm="1">
        <f t="array" ref="P144">IF(ISBLANK(PackingList[[#This Row],[Item]]),"", PackingList[[#This Row],[S]]* _xlfn.XLOOKUP(1,(PackingList[[#This Row],[Item]]=Database[Item])*(PackingList[[#This Row],[Brand]]=Database[Brand]),Database[A. Sug],0))</f>
        <v/>
      </c>
      <c r="Q144" s="46" t="str" cm="1">
        <f t="array" ref="Q144">IF(ISBLANK(PackingList[[#This Row],[Item]]),"", PackingList[[#This Row],[S]]* _xlfn.XLOOKUP(1,(PackingList[[#This Row],[Item]]=Database[Item])*(PackingList[[#This Row],[Brand]]=Database[Brand]),Database[Pro],0))</f>
        <v/>
      </c>
      <c r="R144" s="46" t="str" cm="1">
        <f t="array" ref="R144">IF(ISBLANK(PackingList[[#This Row],[Item]]),"", PackingList[[#This Row],[S]]* _xlfn.XLOOKUP(1,(PackingList[[#This Row],[Item]]=Database[Item])*(PackingList[[#This Row],[Brand]]=Database[Brand]),Database[Vit A],0))</f>
        <v/>
      </c>
      <c r="S144" s="46" t="str" cm="1">
        <f t="array" ref="S144">IF(ISBLANK(PackingList[[#This Row],[Item]]),"", PackingList[[#This Row],[S]]* _xlfn.XLOOKUP(1,(PackingList[[#This Row],[Item]]=Database[Item])*(PackingList[[#This Row],[Brand]]=Database[Brand]),Database[Vit C],0))</f>
        <v/>
      </c>
      <c r="T144" s="46" t="str" cm="1">
        <f t="array" ref="T144">IF(ISBLANK(PackingList[[#This Row],[Item]]),"", PackingList[[#This Row],[S]]* _xlfn.XLOOKUP(1,(PackingList[[#This Row],[Item]]=Database[Item])*(PackingList[[#This Row],[Brand]]=Database[Brand]),Database[Vit D],0))</f>
        <v/>
      </c>
      <c r="U144" s="46" t="str" cm="1">
        <f t="array" ref="U144">IF(ISBLANK(PackingList[[#This Row],[Item]]),"", PackingList[[#This Row],[S]]* _xlfn.XLOOKUP(1,(PackingList[[#This Row],[Item]]=Database[Item])*(PackingList[[#This Row],[Brand]]=Database[Brand]),Database[Ca],0))</f>
        <v/>
      </c>
      <c r="V144" s="47" t="str" cm="1">
        <f t="array" ref="V144">IF(ISBLANK(PackingList[[#This Row],[Item]]),"", PackingList[[#This Row],[S]]* _xlfn.XLOOKUP(1,(PackingList[[#This Row],[Item]]=Database[Item])*(PackingList[[#This Row],[Brand]]=Database[Brand]),Database[Fe],0))</f>
        <v/>
      </c>
      <c r="W144" s="46" t="str" cm="1">
        <f t="array" ref="W144">IF(ISBLANK(PackingList[[#This Row],[Item]]),"", PackingList[[#This Row],[S]]* _xlfn.XLOOKUP(1,(PackingList[[#This Row],[Item]]=Database[Item])*(PackingList[[#This Row],[Brand]]=Database[Brand]),Database[K],0))</f>
        <v/>
      </c>
      <c r="X144" s="44" t="str" cm="1">
        <f t="array" ref="X144:DU144">IFERROR(TRANSPOSE(_xlfn._xlws.SORT(IF(Database[Item]=PackingList[[#This Row],[Item]],Database[Brand],""),1,-1)), "")</f>
        <v/>
      </c>
      <c r="Y144" t="str">
        <v/>
      </c>
      <c r="Z144" t="str">
        <v/>
      </c>
      <c r="AA144" t="str">
        <v/>
      </c>
      <c r="AB144" t="str">
        <v/>
      </c>
      <c r="AC144" t="str">
        <v/>
      </c>
      <c r="AD144" t="str">
        <v/>
      </c>
      <c r="AE144" t="str">
        <v/>
      </c>
      <c r="AF144" t="str">
        <v/>
      </c>
      <c r="AG144" t="str">
        <v/>
      </c>
      <c r="AH144" t="str">
        <v/>
      </c>
      <c r="AI144" t="str">
        <v/>
      </c>
      <c r="AJ144" t="str">
        <v/>
      </c>
      <c r="AK144" t="str">
        <v/>
      </c>
      <c r="AL144" t="str">
        <v/>
      </c>
      <c r="AM144" t="str">
        <v/>
      </c>
      <c r="AN144" t="str">
        <v/>
      </c>
      <c r="AO144" t="str">
        <v/>
      </c>
      <c r="AP144" t="str">
        <v/>
      </c>
      <c r="AQ144" t="str">
        <v/>
      </c>
      <c r="AR144" t="str">
        <v/>
      </c>
      <c r="AS144" t="str">
        <v/>
      </c>
      <c r="AT144" t="str">
        <v/>
      </c>
      <c r="AU144" t="str">
        <v/>
      </c>
      <c r="AV144" t="str">
        <v/>
      </c>
      <c r="AW144" t="str">
        <v/>
      </c>
      <c r="AX144" t="str">
        <v/>
      </c>
      <c r="AY144" t="str">
        <v/>
      </c>
      <c r="AZ144" t="str">
        <v/>
      </c>
      <c r="BA144" t="str">
        <v/>
      </c>
      <c r="BB144" t="str">
        <v/>
      </c>
      <c r="BC144" t="str">
        <v/>
      </c>
      <c r="BD144" t="str">
        <v/>
      </c>
      <c r="BE144" t="str">
        <v/>
      </c>
      <c r="BF144" t="str">
        <v/>
      </c>
      <c r="BG144" t="str">
        <v/>
      </c>
      <c r="BH144" t="str">
        <v/>
      </c>
      <c r="BI144" t="str">
        <v/>
      </c>
      <c r="BJ144" t="str">
        <v/>
      </c>
      <c r="BK144" t="str">
        <v/>
      </c>
      <c r="BL144" t="str">
        <v/>
      </c>
      <c r="BM144" t="str">
        <v/>
      </c>
      <c r="BN144" t="str">
        <v/>
      </c>
      <c r="BO144" t="str">
        <v/>
      </c>
      <c r="BP144" t="str">
        <v/>
      </c>
      <c r="BQ144" t="str">
        <v/>
      </c>
      <c r="BR144" t="str">
        <v/>
      </c>
      <c r="BS144" t="str">
        <v/>
      </c>
      <c r="BT144" t="str">
        <v/>
      </c>
      <c r="BU144" t="str">
        <v/>
      </c>
      <c r="BV144" t="str">
        <v/>
      </c>
      <c r="BW144" t="str">
        <v/>
      </c>
      <c r="BX144" t="str">
        <v/>
      </c>
      <c r="BY144" t="str">
        <v/>
      </c>
      <c r="BZ144" t="str">
        <v/>
      </c>
      <c r="CA144" t="str">
        <v/>
      </c>
      <c r="CB144" t="str">
        <v/>
      </c>
      <c r="CC144" t="str">
        <v/>
      </c>
      <c r="CD144" t="str">
        <v/>
      </c>
      <c r="CE144" t="str">
        <v/>
      </c>
      <c r="CF144" t="str">
        <v/>
      </c>
      <c r="CG144" t="str">
        <v/>
      </c>
      <c r="CH144" t="str">
        <v/>
      </c>
      <c r="CI144" t="str">
        <v/>
      </c>
      <c r="CJ144" t="str">
        <v/>
      </c>
      <c r="CK144" t="str">
        <v/>
      </c>
      <c r="CL144" t="str">
        <v/>
      </c>
      <c r="CM144" t="str">
        <v/>
      </c>
      <c r="CN144" t="str">
        <v/>
      </c>
      <c r="CO144" t="str">
        <v/>
      </c>
      <c r="CP144" t="str">
        <v/>
      </c>
      <c r="CQ144" t="str">
        <v/>
      </c>
      <c r="CR144" t="str">
        <v/>
      </c>
      <c r="CS144" t="str">
        <v/>
      </c>
      <c r="CT144" t="str">
        <v/>
      </c>
      <c r="CU144" t="str">
        <v/>
      </c>
      <c r="CV144" t="str">
        <v/>
      </c>
      <c r="CW144" t="str">
        <v/>
      </c>
      <c r="CX144" t="str">
        <v/>
      </c>
      <c r="CY144" t="str">
        <v/>
      </c>
      <c r="CZ144" t="str">
        <v/>
      </c>
      <c r="DA144" t="str">
        <v/>
      </c>
      <c r="DB144" t="str">
        <v/>
      </c>
      <c r="DC144" t="str">
        <v/>
      </c>
      <c r="DD144" t="str">
        <v/>
      </c>
      <c r="DE144" t="str">
        <v/>
      </c>
      <c r="DF144" t="str">
        <v/>
      </c>
      <c r="DG144" t="str">
        <v/>
      </c>
      <c r="DH144" t="str">
        <v/>
      </c>
      <c r="DI144" t="str">
        <v/>
      </c>
      <c r="DJ144" t="str">
        <v/>
      </c>
      <c r="DK144" t="str">
        <v/>
      </c>
      <c r="DL144" t="str">
        <v/>
      </c>
      <c r="DM144" t="str">
        <v/>
      </c>
      <c r="DN144" t="str">
        <v/>
      </c>
      <c r="DO144" t="str">
        <v/>
      </c>
      <c r="DP144" t="str">
        <v/>
      </c>
      <c r="DQ144" t="str">
        <v/>
      </c>
      <c r="DR144" t="str">
        <v/>
      </c>
      <c r="DS144" t="str">
        <v/>
      </c>
      <c r="DT144" t="str">
        <v/>
      </c>
      <c r="DU144" t="str">
        <v/>
      </c>
    </row>
    <row r="145" spans="2:125" x14ac:dyDescent="0.2">
      <c r="B145"/>
      <c r="D145" s="71" t="str" cm="1">
        <f t="array" ref="D145">IF(ISBLANK(PackingList[[#This Row],[Item]]),"", _xlfn.XLOOKUP(1,(PackingList[[#This Row],[Item]]=Database[Item])*(PackingList[[#This Row],[Brand]]=Database[Brand]),Database[Score],0))</f>
        <v/>
      </c>
      <c r="E145"/>
      <c r="F145" s="41" t="str" cm="1">
        <f t="array" ref="F145">IF(ISBLANK(PackingList[[#This Row],[Item]]),"", PackingList[[#This Row],[S]]* _xlfn.XLOOKUP(1,(PackingList[[#This Row],[Item]]=Database[Item])*(PackingList[[#This Row],[Brand]]=Database[Brand]),Database[Lb]/Database[S],0))</f>
        <v/>
      </c>
      <c r="G145" s="1" t="str">
        <f>IF(ISBLANK(PackingList[[#This Row],[Item]]),"",PackingList[[#This Row],[Lbs]]*16)</f>
        <v/>
      </c>
      <c r="H145" t="str" cm="1">
        <f t="array" ref="H145">IF(ISBLANK(PackingList[[#This Row],[Item]]),"", PackingList[[#This Row],[S]]* _xlfn.XLOOKUP(1,(PackingList[[#This Row],[Item]]=Database[Item])*(PackingList[[#This Row],[Brand]]=Database[Brand]),Database[C/S],0))</f>
        <v/>
      </c>
      <c r="I145" s="45" t="str" cm="1">
        <f t="array" ref="I145">IF(ISBLANK(PackingList[[#This Row],[Item]]),"", PackingList[[#This Row],[S]]* _xlfn.XLOOKUP(1,(PackingList[[#This Row],[Item]]=Database[Item])*(PackingList[[#This Row],[Brand]]=Database[Brand]),Database[$]/Database[S],0))</f>
        <v/>
      </c>
      <c r="J145" s="46" t="str" cm="1">
        <f t="array" ref="J145">IF(ISBLANK(PackingList[[#This Row],[Item]]),"", PackingList[[#This Row],[S]]* _xlfn.XLOOKUP(1,(PackingList[[#This Row],[Item]]=Database[Item])*(PackingList[[#This Row],[Brand]]=Database[Brand]),Database[Fat],0))</f>
        <v/>
      </c>
      <c r="K145" s="46" t="str" cm="1">
        <f t="array" ref="K145">IF(ISBLANK(PackingList[[#This Row],[Item]]),"", PackingList[[#This Row],[S]]* _xlfn.XLOOKUP(1,(PackingList[[#This Row],[Item]]=Database[Item])*(PackingList[[#This Row],[Brand]]=Database[Brand]),Database[S Fat],0))</f>
        <v/>
      </c>
      <c r="L145" s="46" t="str" cm="1">
        <f t="array" ref="L145">IF(ISBLANK(PackingList[[#This Row],[Item]]),"", PackingList[[#This Row],[S]]* _xlfn.XLOOKUP(1,(PackingList[[#This Row],[Item]]=Database[Item])*(PackingList[[#This Row],[Brand]]=Database[Brand]),Database[Chol],0))</f>
        <v/>
      </c>
      <c r="M145" s="46" t="str" cm="1">
        <f t="array" ref="M145">IF(ISBLANK(PackingList[[#This Row],[Item]]),"", PackingList[[#This Row],[S]]* _xlfn.XLOOKUP(1,(PackingList[[#This Row],[Item]]=Database[Item])*(PackingList[[#This Row],[Brand]]=Database[Brand]),Database[Na],0))</f>
        <v/>
      </c>
      <c r="N145" s="46" t="str" cm="1">
        <f t="array" ref="N145">IF(ISBLANK(PackingList[[#This Row],[Item]]),"", PackingList[[#This Row],[S]]* _xlfn.XLOOKUP(1,(PackingList[[#This Row],[Item]]=Database[Item])*(PackingList[[#This Row],[Brand]]=Database[Brand]),Database[Carb],0))</f>
        <v/>
      </c>
      <c r="O145" s="46" t="str" cm="1">
        <f t="array" ref="O145">IF(ISBLANK(PackingList[[#This Row],[Item]]),"", PackingList[[#This Row],[S]]* _xlfn.XLOOKUP(1,(PackingList[[#This Row],[Item]]=Database[Item])*(PackingList[[#This Row],[Brand]]=Database[Brand]),Database[Fib],0))</f>
        <v/>
      </c>
      <c r="P145" s="46" t="str" cm="1">
        <f t="array" ref="P145">IF(ISBLANK(PackingList[[#This Row],[Item]]),"", PackingList[[#This Row],[S]]* _xlfn.XLOOKUP(1,(PackingList[[#This Row],[Item]]=Database[Item])*(PackingList[[#This Row],[Brand]]=Database[Brand]),Database[A. Sug],0))</f>
        <v/>
      </c>
      <c r="Q145" s="46" t="str" cm="1">
        <f t="array" ref="Q145">IF(ISBLANK(PackingList[[#This Row],[Item]]),"", PackingList[[#This Row],[S]]* _xlfn.XLOOKUP(1,(PackingList[[#This Row],[Item]]=Database[Item])*(PackingList[[#This Row],[Brand]]=Database[Brand]),Database[Pro],0))</f>
        <v/>
      </c>
      <c r="R145" s="46" t="str" cm="1">
        <f t="array" ref="R145">IF(ISBLANK(PackingList[[#This Row],[Item]]),"", PackingList[[#This Row],[S]]* _xlfn.XLOOKUP(1,(PackingList[[#This Row],[Item]]=Database[Item])*(PackingList[[#This Row],[Brand]]=Database[Brand]),Database[Vit A],0))</f>
        <v/>
      </c>
      <c r="S145" s="46" t="str" cm="1">
        <f t="array" ref="S145">IF(ISBLANK(PackingList[[#This Row],[Item]]),"", PackingList[[#This Row],[S]]* _xlfn.XLOOKUP(1,(PackingList[[#This Row],[Item]]=Database[Item])*(PackingList[[#This Row],[Brand]]=Database[Brand]),Database[Vit C],0))</f>
        <v/>
      </c>
      <c r="T145" s="46" t="str" cm="1">
        <f t="array" ref="T145">IF(ISBLANK(PackingList[[#This Row],[Item]]),"", PackingList[[#This Row],[S]]* _xlfn.XLOOKUP(1,(PackingList[[#This Row],[Item]]=Database[Item])*(PackingList[[#This Row],[Brand]]=Database[Brand]),Database[Vit D],0))</f>
        <v/>
      </c>
      <c r="U145" s="46" t="str" cm="1">
        <f t="array" ref="U145">IF(ISBLANK(PackingList[[#This Row],[Item]]),"", PackingList[[#This Row],[S]]* _xlfn.XLOOKUP(1,(PackingList[[#This Row],[Item]]=Database[Item])*(PackingList[[#This Row],[Brand]]=Database[Brand]),Database[Ca],0))</f>
        <v/>
      </c>
      <c r="V145" s="47" t="str" cm="1">
        <f t="array" ref="V145">IF(ISBLANK(PackingList[[#This Row],[Item]]),"", PackingList[[#This Row],[S]]* _xlfn.XLOOKUP(1,(PackingList[[#This Row],[Item]]=Database[Item])*(PackingList[[#This Row],[Brand]]=Database[Brand]),Database[Fe],0))</f>
        <v/>
      </c>
      <c r="W145" s="46" t="str" cm="1">
        <f t="array" ref="W145">IF(ISBLANK(PackingList[[#This Row],[Item]]),"", PackingList[[#This Row],[S]]* _xlfn.XLOOKUP(1,(PackingList[[#This Row],[Item]]=Database[Item])*(PackingList[[#This Row],[Brand]]=Database[Brand]),Database[K],0))</f>
        <v/>
      </c>
      <c r="X145" s="44" t="str" cm="1">
        <f t="array" ref="X145:DU145">IFERROR(TRANSPOSE(_xlfn._xlws.SORT(IF(Database[Item]=PackingList[[#This Row],[Item]],Database[Brand],""),1,-1)), "")</f>
        <v/>
      </c>
      <c r="Y145" t="str">
        <v/>
      </c>
      <c r="Z145" t="str">
        <v/>
      </c>
      <c r="AA145" t="str">
        <v/>
      </c>
      <c r="AB145" t="str">
        <v/>
      </c>
      <c r="AC145" t="str">
        <v/>
      </c>
      <c r="AD145" t="str">
        <v/>
      </c>
      <c r="AE145" t="str">
        <v/>
      </c>
      <c r="AF145" t="str">
        <v/>
      </c>
      <c r="AG145" t="str">
        <v/>
      </c>
      <c r="AH145" t="str">
        <v/>
      </c>
      <c r="AI145" t="str">
        <v/>
      </c>
      <c r="AJ145" t="str">
        <v/>
      </c>
      <c r="AK145" t="str">
        <v/>
      </c>
      <c r="AL145" t="str">
        <v/>
      </c>
      <c r="AM145" t="str">
        <v/>
      </c>
      <c r="AN145" t="str">
        <v/>
      </c>
      <c r="AO145" t="str">
        <v/>
      </c>
      <c r="AP145" t="str">
        <v/>
      </c>
      <c r="AQ145" t="str">
        <v/>
      </c>
      <c r="AR145" t="str">
        <v/>
      </c>
      <c r="AS145" t="str">
        <v/>
      </c>
      <c r="AT145" t="str">
        <v/>
      </c>
      <c r="AU145" t="str">
        <v/>
      </c>
      <c r="AV145" t="str">
        <v/>
      </c>
      <c r="AW145" t="str">
        <v/>
      </c>
      <c r="AX145" t="str">
        <v/>
      </c>
      <c r="AY145" t="str">
        <v/>
      </c>
      <c r="AZ145" t="str">
        <v/>
      </c>
      <c r="BA145" t="str">
        <v/>
      </c>
      <c r="BB145" t="str">
        <v/>
      </c>
      <c r="BC145" t="str">
        <v/>
      </c>
      <c r="BD145" t="str">
        <v/>
      </c>
      <c r="BE145" t="str">
        <v/>
      </c>
      <c r="BF145" t="str">
        <v/>
      </c>
      <c r="BG145" t="str">
        <v/>
      </c>
      <c r="BH145" t="str">
        <v/>
      </c>
      <c r="BI145" t="str">
        <v/>
      </c>
      <c r="BJ145" t="str">
        <v/>
      </c>
      <c r="BK145" t="str">
        <v/>
      </c>
      <c r="BL145" t="str">
        <v/>
      </c>
      <c r="BM145" t="str">
        <v/>
      </c>
      <c r="BN145" t="str">
        <v/>
      </c>
      <c r="BO145" t="str">
        <v/>
      </c>
      <c r="BP145" t="str">
        <v/>
      </c>
      <c r="BQ145" t="str">
        <v/>
      </c>
      <c r="BR145" t="str">
        <v/>
      </c>
      <c r="BS145" t="str">
        <v/>
      </c>
      <c r="BT145" t="str">
        <v/>
      </c>
      <c r="BU145" t="str">
        <v/>
      </c>
      <c r="BV145" t="str">
        <v/>
      </c>
      <c r="BW145" t="str">
        <v/>
      </c>
      <c r="BX145" t="str">
        <v/>
      </c>
      <c r="BY145" t="str">
        <v/>
      </c>
      <c r="BZ145" t="str">
        <v/>
      </c>
      <c r="CA145" t="str">
        <v/>
      </c>
      <c r="CB145" t="str">
        <v/>
      </c>
      <c r="CC145" t="str">
        <v/>
      </c>
      <c r="CD145" t="str">
        <v/>
      </c>
      <c r="CE145" t="str">
        <v/>
      </c>
      <c r="CF145" t="str">
        <v/>
      </c>
      <c r="CG145" t="str">
        <v/>
      </c>
      <c r="CH145" t="str">
        <v/>
      </c>
      <c r="CI145" t="str">
        <v/>
      </c>
      <c r="CJ145" t="str">
        <v/>
      </c>
      <c r="CK145" t="str">
        <v/>
      </c>
      <c r="CL145" t="str">
        <v/>
      </c>
      <c r="CM145" t="str">
        <v/>
      </c>
      <c r="CN145" t="str">
        <v/>
      </c>
      <c r="CO145" t="str">
        <v/>
      </c>
      <c r="CP145" t="str">
        <v/>
      </c>
      <c r="CQ145" t="str">
        <v/>
      </c>
      <c r="CR145" t="str">
        <v/>
      </c>
      <c r="CS145" t="str">
        <v/>
      </c>
      <c r="CT145" t="str">
        <v/>
      </c>
      <c r="CU145" t="str">
        <v/>
      </c>
      <c r="CV145" t="str">
        <v/>
      </c>
      <c r="CW145" t="str">
        <v/>
      </c>
      <c r="CX145" t="str">
        <v/>
      </c>
      <c r="CY145" t="str">
        <v/>
      </c>
      <c r="CZ145" t="str">
        <v/>
      </c>
      <c r="DA145" t="str">
        <v/>
      </c>
      <c r="DB145" t="str">
        <v/>
      </c>
      <c r="DC145" t="str">
        <v/>
      </c>
      <c r="DD145" t="str">
        <v/>
      </c>
      <c r="DE145" t="str">
        <v/>
      </c>
      <c r="DF145" t="str">
        <v/>
      </c>
      <c r="DG145" t="str">
        <v/>
      </c>
      <c r="DH145" t="str">
        <v/>
      </c>
      <c r="DI145" t="str">
        <v/>
      </c>
      <c r="DJ145" t="str">
        <v/>
      </c>
      <c r="DK145" t="str">
        <v/>
      </c>
      <c r="DL145" t="str">
        <v/>
      </c>
      <c r="DM145" t="str">
        <v/>
      </c>
      <c r="DN145" t="str">
        <v/>
      </c>
      <c r="DO145" t="str">
        <v/>
      </c>
      <c r="DP145" t="str">
        <v/>
      </c>
      <c r="DQ145" t="str">
        <v/>
      </c>
      <c r="DR145" t="str">
        <v/>
      </c>
      <c r="DS145" t="str">
        <v/>
      </c>
      <c r="DT145" t="str">
        <v/>
      </c>
      <c r="DU145" t="str">
        <v/>
      </c>
    </row>
    <row r="146" spans="2:125" x14ac:dyDescent="0.2">
      <c r="B146"/>
      <c r="D146" s="71" t="str" cm="1">
        <f t="array" ref="D146">IF(ISBLANK(PackingList[[#This Row],[Item]]),"", _xlfn.XLOOKUP(1,(PackingList[[#This Row],[Item]]=Database[Item])*(PackingList[[#This Row],[Brand]]=Database[Brand]),Database[Score],0))</f>
        <v/>
      </c>
      <c r="E146"/>
      <c r="F146" s="41" t="str" cm="1">
        <f t="array" ref="F146">IF(ISBLANK(PackingList[[#This Row],[Item]]),"", PackingList[[#This Row],[S]]* _xlfn.XLOOKUP(1,(PackingList[[#This Row],[Item]]=Database[Item])*(PackingList[[#This Row],[Brand]]=Database[Brand]),Database[Lb]/Database[S],0))</f>
        <v/>
      </c>
      <c r="G146" s="1" t="str">
        <f>IF(ISBLANK(PackingList[[#This Row],[Item]]),"",PackingList[[#This Row],[Lbs]]*16)</f>
        <v/>
      </c>
      <c r="H146" t="str" cm="1">
        <f t="array" ref="H146">IF(ISBLANK(PackingList[[#This Row],[Item]]),"", PackingList[[#This Row],[S]]* _xlfn.XLOOKUP(1,(PackingList[[#This Row],[Item]]=Database[Item])*(PackingList[[#This Row],[Brand]]=Database[Brand]),Database[C/S],0))</f>
        <v/>
      </c>
      <c r="I146" s="45" t="str" cm="1">
        <f t="array" ref="I146">IF(ISBLANK(PackingList[[#This Row],[Item]]),"", PackingList[[#This Row],[S]]* _xlfn.XLOOKUP(1,(PackingList[[#This Row],[Item]]=Database[Item])*(PackingList[[#This Row],[Brand]]=Database[Brand]),Database[$]/Database[S],0))</f>
        <v/>
      </c>
      <c r="J146" s="46" t="str" cm="1">
        <f t="array" ref="J146">IF(ISBLANK(PackingList[[#This Row],[Item]]),"", PackingList[[#This Row],[S]]* _xlfn.XLOOKUP(1,(PackingList[[#This Row],[Item]]=Database[Item])*(PackingList[[#This Row],[Brand]]=Database[Brand]),Database[Fat],0))</f>
        <v/>
      </c>
      <c r="K146" s="46" t="str" cm="1">
        <f t="array" ref="K146">IF(ISBLANK(PackingList[[#This Row],[Item]]),"", PackingList[[#This Row],[S]]* _xlfn.XLOOKUP(1,(PackingList[[#This Row],[Item]]=Database[Item])*(PackingList[[#This Row],[Brand]]=Database[Brand]),Database[S Fat],0))</f>
        <v/>
      </c>
      <c r="L146" s="46" t="str" cm="1">
        <f t="array" ref="L146">IF(ISBLANK(PackingList[[#This Row],[Item]]),"", PackingList[[#This Row],[S]]* _xlfn.XLOOKUP(1,(PackingList[[#This Row],[Item]]=Database[Item])*(PackingList[[#This Row],[Brand]]=Database[Brand]),Database[Chol],0))</f>
        <v/>
      </c>
      <c r="M146" s="46" t="str" cm="1">
        <f t="array" ref="M146">IF(ISBLANK(PackingList[[#This Row],[Item]]),"", PackingList[[#This Row],[S]]* _xlfn.XLOOKUP(1,(PackingList[[#This Row],[Item]]=Database[Item])*(PackingList[[#This Row],[Brand]]=Database[Brand]),Database[Na],0))</f>
        <v/>
      </c>
      <c r="N146" s="46" t="str" cm="1">
        <f t="array" ref="N146">IF(ISBLANK(PackingList[[#This Row],[Item]]),"", PackingList[[#This Row],[S]]* _xlfn.XLOOKUP(1,(PackingList[[#This Row],[Item]]=Database[Item])*(PackingList[[#This Row],[Brand]]=Database[Brand]),Database[Carb],0))</f>
        <v/>
      </c>
      <c r="O146" s="46" t="str" cm="1">
        <f t="array" ref="O146">IF(ISBLANK(PackingList[[#This Row],[Item]]),"", PackingList[[#This Row],[S]]* _xlfn.XLOOKUP(1,(PackingList[[#This Row],[Item]]=Database[Item])*(PackingList[[#This Row],[Brand]]=Database[Brand]),Database[Fib],0))</f>
        <v/>
      </c>
      <c r="P146" s="46" t="str" cm="1">
        <f t="array" ref="P146">IF(ISBLANK(PackingList[[#This Row],[Item]]),"", PackingList[[#This Row],[S]]* _xlfn.XLOOKUP(1,(PackingList[[#This Row],[Item]]=Database[Item])*(PackingList[[#This Row],[Brand]]=Database[Brand]),Database[A. Sug],0))</f>
        <v/>
      </c>
      <c r="Q146" s="46" t="str" cm="1">
        <f t="array" ref="Q146">IF(ISBLANK(PackingList[[#This Row],[Item]]),"", PackingList[[#This Row],[S]]* _xlfn.XLOOKUP(1,(PackingList[[#This Row],[Item]]=Database[Item])*(PackingList[[#This Row],[Brand]]=Database[Brand]),Database[Pro],0))</f>
        <v/>
      </c>
      <c r="R146" s="46" t="str" cm="1">
        <f t="array" ref="R146">IF(ISBLANK(PackingList[[#This Row],[Item]]),"", PackingList[[#This Row],[S]]* _xlfn.XLOOKUP(1,(PackingList[[#This Row],[Item]]=Database[Item])*(PackingList[[#This Row],[Brand]]=Database[Brand]),Database[Vit A],0))</f>
        <v/>
      </c>
      <c r="S146" s="46" t="str" cm="1">
        <f t="array" ref="S146">IF(ISBLANK(PackingList[[#This Row],[Item]]),"", PackingList[[#This Row],[S]]* _xlfn.XLOOKUP(1,(PackingList[[#This Row],[Item]]=Database[Item])*(PackingList[[#This Row],[Brand]]=Database[Brand]),Database[Vit C],0))</f>
        <v/>
      </c>
      <c r="T146" s="46" t="str" cm="1">
        <f t="array" ref="T146">IF(ISBLANK(PackingList[[#This Row],[Item]]),"", PackingList[[#This Row],[S]]* _xlfn.XLOOKUP(1,(PackingList[[#This Row],[Item]]=Database[Item])*(PackingList[[#This Row],[Brand]]=Database[Brand]),Database[Vit D],0))</f>
        <v/>
      </c>
      <c r="U146" s="46" t="str" cm="1">
        <f t="array" ref="U146">IF(ISBLANK(PackingList[[#This Row],[Item]]),"", PackingList[[#This Row],[S]]* _xlfn.XLOOKUP(1,(PackingList[[#This Row],[Item]]=Database[Item])*(PackingList[[#This Row],[Brand]]=Database[Brand]),Database[Ca],0))</f>
        <v/>
      </c>
      <c r="V146" s="47" t="str" cm="1">
        <f t="array" ref="V146">IF(ISBLANK(PackingList[[#This Row],[Item]]),"", PackingList[[#This Row],[S]]* _xlfn.XLOOKUP(1,(PackingList[[#This Row],[Item]]=Database[Item])*(PackingList[[#This Row],[Brand]]=Database[Brand]),Database[Fe],0))</f>
        <v/>
      </c>
      <c r="W146" s="46" t="str" cm="1">
        <f t="array" ref="W146">IF(ISBLANK(PackingList[[#This Row],[Item]]),"", PackingList[[#This Row],[S]]* _xlfn.XLOOKUP(1,(PackingList[[#This Row],[Item]]=Database[Item])*(PackingList[[#This Row],[Brand]]=Database[Brand]),Database[K],0))</f>
        <v/>
      </c>
      <c r="X146" s="44" t="str" cm="1">
        <f t="array" ref="X146:DU146">IFERROR(TRANSPOSE(_xlfn._xlws.SORT(IF(Database[Item]=PackingList[[#This Row],[Item]],Database[Brand],""),1,-1)), "")</f>
        <v/>
      </c>
      <c r="Y146" t="str">
        <v/>
      </c>
      <c r="Z146" t="str">
        <v/>
      </c>
      <c r="AA146" t="str">
        <v/>
      </c>
      <c r="AB146" t="str">
        <v/>
      </c>
      <c r="AC146" t="str">
        <v/>
      </c>
      <c r="AD146" t="str">
        <v/>
      </c>
      <c r="AE146" t="str">
        <v/>
      </c>
      <c r="AF146" t="str">
        <v/>
      </c>
      <c r="AG146" t="str">
        <v/>
      </c>
      <c r="AH146" t="str">
        <v/>
      </c>
      <c r="AI146" t="str">
        <v/>
      </c>
      <c r="AJ146" t="str">
        <v/>
      </c>
      <c r="AK146" t="str">
        <v/>
      </c>
      <c r="AL146" t="str">
        <v/>
      </c>
      <c r="AM146" t="str">
        <v/>
      </c>
      <c r="AN146" t="str">
        <v/>
      </c>
      <c r="AO146" t="str">
        <v/>
      </c>
      <c r="AP146" t="str">
        <v/>
      </c>
      <c r="AQ146" t="str">
        <v/>
      </c>
      <c r="AR146" t="str">
        <v/>
      </c>
      <c r="AS146" t="str">
        <v/>
      </c>
      <c r="AT146" t="str">
        <v/>
      </c>
      <c r="AU146" t="str">
        <v/>
      </c>
      <c r="AV146" t="str">
        <v/>
      </c>
      <c r="AW146" t="str">
        <v/>
      </c>
      <c r="AX146" t="str">
        <v/>
      </c>
      <c r="AY146" t="str">
        <v/>
      </c>
      <c r="AZ146" t="str">
        <v/>
      </c>
      <c r="BA146" t="str">
        <v/>
      </c>
      <c r="BB146" t="str">
        <v/>
      </c>
      <c r="BC146" t="str">
        <v/>
      </c>
      <c r="BD146" t="str">
        <v/>
      </c>
      <c r="BE146" t="str">
        <v/>
      </c>
      <c r="BF146" t="str">
        <v/>
      </c>
      <c r="BG146" t="str">
        <v/>
      </c>
      <c r="BH146" t="str">
        <v/>
      </c>
      <c r="BI146" t="str">
        <v/>
      </c>
      <c r="BJ146" t="str">
        <v/>
      </c>
      <c r="BK146" t="str">
        <v/>
      </c>
      <c r="BL146" t="str">
        <v/>
      </c>
      <c r="BM146" t="str">
        <v/>
      </c>
      <c r="BN146" t="str">
        <v/>
      </c>
      <c r="BO146" t="str">
        <v/>
      </c>
      <c r="BP146" t="str">
        <v/>
      </c>
      <c r="BQ146" t="str">
        <v/>
      </c>
      <c r="BR146" t="str">
        <v/>
      </c>
      <c r="BS146" t="str">
        <v/>
      </c>
      <c r="BT146" t="str">
        <v/>
      </c>
      <c r="BU146" t="str">
        <v/>
      </c>
      <c r="BV146" t="str">
        <v/>
      </c>
      <c r="BW146" t="str">
        <v/>
      </c>
      <c r="BX146" t="str">
        <v/>
      </c>
      <c r="BY146" t="str">
        <v/>
      </c>
      <c r="BZ146" t="str">
        <v/>
      </c>
      <c r="CA146" t="str">
        <v/>
      </c>
      <c r="CB146" t="str">
        <v/>
      </c>
      <c r="CC146" t="str">
        <v/>
      </c>
      <c r="CD146" t="str">
        <v/>
      </c>
      <c r="CE146" t="str">
        <v/>
      </c>
      <c r="CF146" t="str">
        <v/>
      </c>
      <c r="CG146" t="str">
        <v/>
      </c>
      <c r="CH146" t="str">
        <v/>
      </c>
      <c r="CI146" t="str">
        <v/>
      </c>
      <c r="CJ146" t="str">
        <v/>
      </c>
      <c r="CK146" t="str">
        <v/>
      </c>
      <c r="CL146" t="str">
        <v/>
      </c>
      <c r="CM146" t="str">
        <v/>
      </c>
      <c r="CN146" t="str">
        <v/>
      </c>
      <c r="CO146" t="str">
        <v/>
      </c>
      <c r="CP146" t="str">
        <v/>
      </c>
      <c r="CQ146" t="str">
        <v/>
      </c>
      <c r="CR146" t="str">
        <v/>
      </c>
      <c r="CS146" t="str">
        <v/>
      </c>
      <c r="CT146" t="str">
        <v/>
      </c>
      <c r="CU146" t="str">
        <v/>
      </c>
      <c r="CV146" t="str">
        <v/>
      </c>
      <c r="CW146" t="str">
        <v/>
      </c>
      <c r="CX146" t="str">
        <v/>
      </c>
      <c r="CY146" t="str">
        <v/>
      </c>
      <c r="CZ146" t="str">
        <v/>
      </c>
      <c r="DA146" t="str">
        <v/>
      </c>
      <c r="DB146" t="str">
        <v/>
      </c>
      <c r="DC146" t="str">
        <v/>
      </c>
      <c r="DD146" t="str">
        <v/>
      </c>
      <c r="DE146" t="str">
        <v/>
      </c>
      <c r="DF146" t="str">
        <v/>
      </c>
      <c r="DG146" t="str">
        <v/>
      </c>
      <c r="DH146" t="str">
        <v/>
      </c>
      <c r="DI146" t="str">
        <v/>
      </c>
      <c r="DJ146" t="str">
        <v/>
      </c>
      <c r="DK146" t="str">
        <v/>
      </c>
      <c r="DL146" t="str">
        <v/>
      </c>
      <c r="DM146" t="str">
        <v/>
      </c>
      <c r="DN146" t="str">
        <v/>
      </c>
      <c r="DO146" t="str">
        <v/>
      </c>
      <c r="DP146" t="str">
        <v/>
      </c>
      <c r="DQ146" t="str">
        <v/>
      </c>
      <c r="DR146" t="str">
        <v/>
      </c>
      <c r="DS146" t="str">
        <v/>
      </c>
      <c r="DT146" t="str">
        <v/>
      </c>
      <c r="DU146" t="str">
        <v/>
      </c>
    </row>
    <row r="147" spans="2:125" x14ac:dyDescent="0.2">
      <c r="B147"/>
      <c r="D147" s="71" t="str" cm="1">
        <f t="array" ref="D147">IF(ISBLANK(PackingList[[#This Row],[Item]]),"", _xlfn.XLOOKUP(1,(PackingList[[#This Row],[Item]]=Database[Item])*(PackingList[[#This Row],[Brand]]=Database[Brand]),Database[Score],0))</f>
        <v/>
      </c>
      <c r="E147"/>
      <c r="F147" s="41" t="str" cm="1">
        <f t="array" ref="F147">IF(ISBLANK(PackingList[[#This Row],[Item]]),"", PackingList[[#This Row],[S]]* _xlfn.XLOOKUP(1,(PackingList[[#This Row],[Item]]=Database[Item])*(PackingList[[#This Row],[Brand]]=Database[Brand]),Database[Lb]/Database[S],0))</f>
        <v/>
      </c>
      <c r="G147" s="1" t="str">
        <f>IF(ISBLANK(PackingList[[#This Row],[Item]]),"",PackingList[[#This Row],[Lbs]]*16)</f>
        <v/>
      </c>
      <c r="H147" t="str" cm="1">
        <f t="array" ref="H147">IF(ISBLANK(PackingList[[#This Row],[Item]]),"", PackingList[[#This Row],[S]]* _xlfn.XLOOKUP(1,(PackingList[[#This Row],[Item]]=Database[Item])*(PackingList[[#This Row],[Brand]]=Database[Brand]),Database[C/S],0))</f>
        <v/>
      </c>
      <c r="I147" s="45" t="str" cm="1">
        <f t="array" ref="I147">IF(ISBLANK(PackingList[[#This Row],[Item]]),"", PackingList[[#This Row],[S]]* _xlfn.XLOOKUP(1,(PackingList[[#This Row],[Item]]=Database[Item])*(PackingList[[#This Row],[Brand]]=Database[Brand]),Database[$]/Database[S],0))</f>
        <v/>
      </c>
      <c r="J147" s="46" t="str" cm="1">
        <f t="array" ref="J147">IF(ISBLANK(PackingList[[#This Row],[Item]]),"", PackingList[[#This Row],[S]]* _xlfn.XLOOKUP(1,(PackingList[[#This Row],[Item]]=Database[Item])*(PackingList[[#This Row],[Brand]]=Database[Brand]),Database[Fat],0))</f>
        <v/>
      </c>
      <c r="K147" s="46" t="str" cm="1">
        <f t="array" ref="K147">IF(ISBLANK(PackingList[[#This Row],[Item]]),"", PackingList[[#This Row],[S]]* _xlfn.XLOOKUP(1,(PackingList[[#This Row],[Item]]=Database[Item])*(PackingList[[#This Row],[Brand]]=Database[Brand]),Database[S Fat],0))</f>
        <v/>
      </c>
      <c r="L147" s="46" t="str" cm="1">
        <f t="array" ref="L147">IF(ISBLANK(PackingList[[#This Row],[Item]]),"", PackingList[[#This Row],[S]]* _xlfn.XLOOKUP(1,(PackingList[[#This Row],[Item]]=Database[Item])*(PackingList[[#This Row],[Brand]]=Database[Brand]),Database[Chol],0))</f>
        <v/>
      </c>
      <c r="M147" s="46" t="str" cm="1">
        <f t="array" ref="M147">IF(ISBLANK(PackingList[[#This Row],[Item]]),"", PackingList[[#This Row],[S]]* _xlfn.XLOOKUP(1,(PackingList[[#This Row],[Item]]=Database[Item])*(PackingList[[#This Row],[Brand]]=Database[Brand]),Database[Na],0))</f>
        <v/>
      </c>
      <c r="N147" s="46" t="str" cm="1">
        <f t="array" ref="N147">IF(ISBLANK(PackingList[[#This Row],[Item]]),"", PackingList[[#This Row],[S]]* _xlfn.XLOOKUP(1,(PackingList[[#This Row],[Item]]=Database[Item])*(PackingList[[#This Row],[Brand]]=Database[Brand]),Database[Carb],0))</f>
        <v/>
      </c>
      <c r="O147" s="46" t="str" cm="1">
        <f t="array" ref="O147">IF(ISBLANK(PackingList[[#This Row],[Item]]),"", PackingList[[#This Row],[S]]* _xlfn.XLOOKUP(1,(PackingList[[#This Row],[Item]]=Database[Item])*(PackingList[[#This Row],[Brand]]=Database[Brand]),Database[Fib],0))</f>
        <v/>
      </c>
      <c r="P147" s="46" t="str" cm="1">
        <f t="array" ref="P147">IF(ISBLANK(PackingList[[#This Row],[Item]]),"", PackingList[[#This Row],[S]]* _xlfn.XLOOKUP(1,(PackingList[[#This Row],[Item]]=Database[Item])*(PackingList[[#This Row],[Brand]]=Database[Brand]),Database[A. Sug],0))</f>
        <v/>
      </c>
      <c r="Q147" s="46" t="str" cm="1">
        <f t="array" ref="Q147">IF(ISBLANK(PackingList[[#This Row],[Item]]),"", PackingList[[#This Row],[S]]* _xlfn.XLOOKUP(1,(PackingList[[#This Row],[Item]]=Database[Item])*(PackingList[[#This Row],[Brand]]=Database[Brand]),Database[Pro],0))</f>
        <v/>
      </c>
      <c r="R147" s="46" t="str" cm="1">
        <f t="array" ref="R147">IF(ISBLANK(PackingList[[#This Row],[Item]]),"", PackingList[[#This Row],[S]]* _xlfn.XLOOKUP(1,(PackingList[[#This Row],[Item]]=Database[Item])*(PackingList[[#This Row],[Brand]]=Database[Brand]),Database[Vit A],0))</f>
        <v/>
      </c>
      <c r="S147" s="46" t="str" cm="1">
        <f t="array" ref="S147">IF(ISBLANK(PackingList[[#This Row],[Item]]),"", PackingList[[#This Row],[S]]* _xlfn.XLOOKUP(1,(PackingList[[#This Row],[Item]]=Database[Item])*(PackingList[[#This Row],[Brand]]=Database[Brand]),Database[Vit C],0))</f>
        <v/>
      </c>
      <c r="T147" s="46" t="str" cm="1">
        <f t="array" ref="T147">IF(ISBLANK(PackingList[[#This Row],[Item]]),"", PackingList[[#This Row],[S]]* _xlfn.XLOOKUP(1,(PackingList[[#This Row],[Item]]=Database[Item])*(PackingList[[#This Row],[Brand]]=Database[Brand]),Database[Vit D],0))</f>
        <v/>
      </c>
      <c r="U147" s="46" t="str" cm="1">
        <f t="array" ref="U147">IF(ISBLANK(PackingList[[#This Row],[Item]]),"", PackingList[[#This Row],[S]]* _xlfn.XLOOKUP(1,(PackingList[[#This Row],[Item]]=Database[Item])*(PackingList[[#This Row],[Brand]]=Database[Brand]),Database[Ca],0))</f>
        <v/>
      </c>
      <c r="V147" s="47" t="str" cm="1">
        <f t="array" ref="V147">IF(ISBLANK(PackingList[[#This Row],[Item]]),"", PackingList[[#This Row],[S]]* _xlfn.XLOOKUP(1,(PackingList[[#This Row],[Item]]=Database[Item])*(PackingList[[#This Row],[Brand]]=Database[Brand]),Database[Fe],0))</f>
        <v/>
      </c>
      <c r="W147" s="46" t="str" cm="1">
        <f t="array" ref="W147">IF(ISBLANK(PackingList[[#This Row],[Item]]),"", PackingList[[#This Row],[S]]* _xlfn.XLOOKUP(1,(PackingList[[#This Row],[Item]]=Database[Item])*(PackingList[[#This Row],[Brand]]=Database[Brand]),Database[K],0))</f>
        <v/>
      </c>
      <c r="X147" s="44" t="str" cm="1">
        <f t="array" ref="X147:DU147">IFERROR(TRANSPOSE(_xlfn._xlws.SORT(IF(Database[Item]=PackingList[[#This Row],[Item]],Database[Brand],""),1,-1)), "")</f>
        <v/>
      </c>
      <c r="Y147" t="str">
        <v/>
      </c>
      <c r="Z147" t="str">
        <v/>
      </c>
      <c r="AA147" t="str">
        <v/>
      </c>
      <c r="AB147" t="str">
        <v/>
      </c>
      <c r="AC147" t="str">
        <v/>
      </c>
      <c r="AD147" t="str">
        <v/>
      </c>
      <c r="AE147" t="str">
        <v/>
      </c>
      <c r="AF147" t="str">
        <v/>
      </c>
      <c r="AG147" t="str">
        <v/>
      </c>
      <c r="AH147" t="str">
        <v/>
      </c>
      <c r="AI147" t="str">
        <v/>
      </c>
      <c r="AJ147" t="str">
        <v/>
      </c>
      <c r="AK147" t="str">
        <v/>
      </c>
      <c r="AL147" t="str">
        <v/>
      </c>
      <c r="AM147" t="str">
        <v/>
      </c>
      <c r="AN147" t="str">
        <v/>
      </c>
      <c r="AO147" t="str">
        <v/>
      </c>
      <c r="AP147" t="str">
        <v/>
      </c>
      <c r="AQ147" t="str">
        <v/>
      </c>
      <c r="AR147" t="str">
        <v/>
      </c>
      <c r="AS147" t="str">
        <v/>
      </c>
      <c r="AT147" t="str">
        <v/>
      </c>
      <c r="AU147" t="str">
        <v/>
      </c>
      <c r="AV147" t="str">
        <v/>
      </c>
      <c r="AW147" t="str">
        <v/>
      </c>
      <c r="AX147" t="str">
        <v/>
      </c>
      <c r="AY147" t="str">
        <v/>
      </c>
      <c r="AZ147" t="str">
        <v/>
      </c>
      <c r="BA147" t="str">
        <v/>
      </c>
      <c r="BB147" t="str">
        <v/>
      </c>
      <c r="BC147" t="str">
        <v/>
      </c>
      <c r="BD147" t="str">
        <v/>
      </c>
      <c r="BE147" t="str">
        <v/>
      </c>
      <c r="BF147" t="str">
        <v/>
      </c>
      <c r="BG147" t="str">
        <v/>
      </c>
      <c r="BH147" t="str">
        <v/>
      </c>
      <c r="BI147" t="str">
        <v/>
      </c>
      <c r="BJ147" t="str">
        <v/>
      </c>
      <c r="BK147" t="str">
        <v/>
      </c>
      <c r="BL147" t="str">
        <v/>
      </c>
      <c r="BM147" t="str">
        <v/>
      </c>
      <c r="BN147" t="str">
        <v/>
      </c>
      <c r="BO147" t="str">
        <v/>
      </c>
      <c r="BP147" t="str">
        <v/>
      </c>
      <c r="BQ147" t="str">
        <v/>
      </c>
      <c r="BR147" t="str">
        <v/>
      </c>
      <c r="BS147" t="str">
        <v/>
      </c>
      <c r="BT147" t="str">
        <v/>
      </c>
      <c r="BU147" t="str">
        <v/>
      </c>
      <c r="BV147" t="str">
        <v/>
      </c>
      <c r="BW147" t="str">
        <v/>
      </c>
      <c r="BX147" t="str">
        <v/>
      </c>
      <c r="BY147" t="str">
        <v/>
      </c>
      <c r="BZ147" t="str">
        <v/>
      </c>
      <c r="CA147" t="str">
        <v/>
      </c>
      <c r="CB147" t="str">
        <v/>
      </c>
      <c r="CC147" t="str">
        <v/>
      </c>
      <c r="CD147" t="str">
        <v/>
      </c>
      <c r="CE147" t="str">
        <v/>
      </c>
      <c r="CF147" t="str">
        <v/>
      </c>
      <c r="CG147" t="str">
        <v/>
      </c>
      <c r="CH147" t="str">
        <v/>
      </c>
      <c r="CI147" t="str">
        <v/>
      </c>
      <c r="CJ147" t="str">
        <v/>
      </c>
      <c r="CK147" t="str">
        <v/>
      </c>
      <c r="CL147" t="str">
        <v/>
      </c>
      <c r="CM147" t="str">
        <v/>
      </c>
      <c r="CN147" t="str">
        <v/>
      </c>
      <c r="CO147" t="str">
        <v/>
      </c>
      <c r="CP147" t="str">
        <v/>
      </c>
      <c r="CQ147" t="str">
        <v/>
      </c>
      <c r="CR147" t="str">
        <v/>
      </c>
      <c r="CS147" t="str">
        <v/>
      </c>
      <c r="CT147" t="str">
        <v/>
      </c>
      <c r="CU147" t="str">
        <v/>
      </c>
      <c r="CV147" t="str">
        <v/>
      </c>
      <c r="CW147" t="str">
        <v/>
      </c>
      <c r="CX147" t="str">
        <v/>
      </c>
      <c r="CY147" t="str">
        <v/>
      </c>
      <c r="CZ147" t="str">
        <v/>
      </c>
      <c r="DA147" t="str">
        <v/>
      </c>
      <c r="DB147" t="str">
        <v/>
      </c>
      <c r="DC147" t="str">
        <v/>
      </c>
      <c r="DD147" t="str">
        <v/>
      </c>
      <c r="DE147" t="str">
        <v/>
      </c>
      <c r="DF147" t="str">
        <v/>
      </c>
      <c r="DG147" t="str">
        <v/>
      </c>
      <c r="DH147" t="str">
        <v/>
      </c>
      <c r="DI147" t="str">
        <v/>
      </c>
      <c r="DJ147" t="str">
        <v/>
      </c>
      <c r="DK147" t="str">
        <v/>
      </c>
      <c r="DL147" t="str">
        <v/>
      </c>
      <c r="DM147" t="str">
        <v/>
      </c>
      <c r="DN147" t="str">
        <v/>
      </c>
      <c r="DO147" t="str">
        <v/>
      </c>
      <c r="DP147" t="str">
        <v/>
      </c>
      <c r="DQ147" t="str">
        <v/>
      </c>
      <c r="DR147" t="str">
        <v/>
      </c>
      <c r="DS147" t="str">
        <v/>
      </c>
      <c r="DT147" t="str">
        <v/>
      </c>
      <c r="DU147" t="str">
        <v/>
      </c>
    </row>
    <row r="148" spans="2:125" x14ac:dyDescent="0.2">
      <c r="B148"/>
      <c r="D148" s="71" t="str" cm="1">
        <f t="array" ref="D148">IF(ISBLANK(PackingList[[#This Row],[Item]]),"", _xlfn.XLOOKUP(1,(PackingList[[#This Row],[Item]]=Database[Item])*(PackingList[[#This Row],[Brand]]=Database[Brand]),Database[Score],0))</f>
        <v/>
      </c>
      <c r="E148"/>
      <c r="F148" s="41" t="str" cm="1">
        <f t="array" ref="F148">IF(ISBLANK(PackingList[[#This Row],[Item]]),"", PackingList[[#This Row],[S]]* _xlfn.XLOOKUP(1,(PackingList[[#This Row],[Item]]=Database[Item])*(PackingList[[#This Row],[Brand]]=Database[Brand]),Database[Lb]/Database[S],0))</f>
        <v/>
      </c>
      <c r="G148" s="1" t="str">
        <f>IF(ISBLANK(PackingList[[#This Row],[Item]]),"",PackingList[[#This Row],[Lbs]]*16)</f>
        <v/>
      </c>
      <c r="H148" t="str" cm="1">
        <f t="array" ref="H148">IF(ISBLANK(PackingList[[#This Row],[Item]]),"", PackingList[[#This Row],[S]]* _xlfn.XLOOKUP(1,(PackingList[[#This Row],[Item]]=Database[Item])*(PackingList[[#This Row],[Brand]]=Database[Brand]),Database[C/S],0))</f>
        <v/>
      </c>
      <c r="I148" s="45" t="str" cm="1">
        <f t="array" ref="I148">IF(ISBLANK(PackingList[[#This Row],[Item]]),"", PackingList[[#This Row],[S]]* _xlfn.XLOOKUP(1,(PackingList[[#This Row],[Item]]=Database[Item])*(PackingList[[#This Row],[Brand]]=Database[Brand]),Database[$]/Database[S],0))</f>
        <v/>
      </c>
      <c r="J148" s="46" t="str" cm="1">
        <f t="array" ref="J148">IF(ISBLANK(PackingList[[#This Row],[Item]]),"", PackingList[[#This Row],[S]]* _xlfn.XLOOKUP(1,(PackingList[[#This Row],[Item]]=Database[Item])*(PackingList[[#This Row],[Brand]]=Database[Brand]),Database[Fat],0))</f>
        <v/>
      </c>
      <c r="K148" s="46" t="str" cm="1">
        <f t="array" ref="K148">IF(ISBLANK(PackingList[[#This Row],[Item]]),"", PackingList[[#This Row],[S]]* _xlfn.XLOOKUP(1,(PackingList[[#This Row],[Item]]=Database[Item])*(PackingList[[#This Row],[Brand]]=Database[Brand]),Database[S Fat],0))</f>
        <v/>
      </c>
      <c r="L148" s="46" t="str" cm="1">
        <f t="array" ref="L148">IF(ISBLANK(PackingList[[#This Row],[Item]]),"", PackingList[[#This Row],[S]]* _xlfn.XLOOKUP(1,(PackingList[[#This Row],[Item]]=Database[Item])*(PackingList[[#This Row],[Brand]]=Database[Brand]),Database[Chol],0))</f>
        <v/>
      </c>
      <c r="M148" s="46" t="str" cm="1">
        <f t="array" ref="M148">IF(ISBLANK(PackingList[[#This Row],[Item]]),"", PackingList[[#This Row],[S]]* _xlfn.XLOOKUP(1,(PackingList[[#This Row],[Item]]=Database[Item])*(PackingList[[#This Row],[Brand]]=Database[Brand]),Database[Na],0))</f>
        <v/>
      </c>
      <c r="N148" s="46" t="str" cm="1">
        <f t="array" ref="N148">IF(ISBLANK(PackingList[[#This Row],[Item]]),"", PackingList[[#This Row],[S]]* _xlfn.XLOOKUP(1,(PackingList[[#This Row],[Item]]=Database[Item])*(PackingList[[#This Row],[Brand]]=Database[Brand]),Database[Carb],0))</f>
        <v/>
      </c>
      <c r="O148" s="46" t="str" cm="1">
        <f t="array" ref="O148">IF(ISBLANK(PackingList[[#This Row],[Item]]),"", PackingList[[#This Row],[S]]* _xlfn.XLOOKUP(1,(PackingList[[#This Row],[Item]]=Database[Item])*(PackingList[[#This Row],[Brand]]=Database[Brand]),Database[Fib],0))</f>
        <v/>
      </c>
      <c r="P148" s="46" t="str" cm="1">
        <f t="array" ref="P148">IF(ISBLANK(PackingList[[#This Row],[Item]]),"", PackingList[[#This Row],[S]]* _xlfn.XLOOKUP(1,(PackingList[[#This Row],[Item]]=Database[Item])*(PackingList[[#This Row],[Brand]]=Database[Brand]),Database[A. Sug],0))</f>
        <v/>
      </c>
      <c r="Q148" s="46" t="str" cm="1">
        <f t="array" ref="Q148">IF(ISBLANK(PackingList[[#This Row],[Item]]),"", PackingList[[#This Row],[S]]* _xlfn.XLOOKUP(1,(PackingList[[#This Row],[Item]]=Database[Item])*(PackingList[[#This Row],[Brand]]=Database[Brand]),Database[Pro],0))</f>
        <v/>
      </c>
      <c r="R148" s="46" t="str" cm="1">
        <f t="array" ref="R148">IF(ISBLANK(PackingList[[#This Row],[Item]]),"", PackingList[[#This Row],[S]]* _xlfn.XLOOKUP(1,(PackingList[[#This Row],[Item]]=Database[Item])*(PackingList[[#This Row],[Brand]]=Database[Brand]),Database[Vit A],0))</f>
        <v/>
      </c>
      <c r="S148" s="46" t="str" cm="1">
        <f t="array" ref="S148">IF(ISBLANK(PackingList[[#This Row],[Item]]),"", PackingList[[#This Row],[S]]* _xlfn.XLOOKUP(1,(PackingList[[#This Row],[Item]]=Database[Item])*(PackingList[[#This Row],[Brand]]=Database[Brand]),Database[Vit C],0))</f>
        <v/>
      </c>
      <c r="T148" s="46" t="str" cm="1">
        <f t="array" ref="T148">IF(ISBLANK(PackingList[[#This Row],[Item]]),"", PackingList[[#This Row],[S]]* _xlfn.XLOOKUP(1,(PackingList[[#This Row],[Item]]=Database[Item])*(PackingList[[#This Row],[Brand]]=Database[Brand]),Database[Vit D],0))</f>
        <v/>
      </c>
      <c r="U148" s="46" t="str" cm="1">
        <f t="array" ref="U148">IF(ISBLANK(PackingList[[#This Row],[Item]]),"", PackingList[[#This Row],[S]]* _xlfn.XLOOKUP(1,(PackingList[[#This Row],[Item]]=Database[Item])*(PackingList[[#This Row],[Brand]]=Database[Brand]),Database[Ca],0))</f>
        <v/>
      </c>
      <c r="V148" s="47" t="str" cm="1">
        <f t="array" ref="V148">IF(ISBLANK(PackingList[[#This Row],[Item]]),"", PackingList[[#This Row],[S]]* _xlfn.XLOOKUP(1,(PackingList[[#This Row],[Item]]=Database[Item])*(PackingList[[#This Row],[Brand]]=Database[Brand]),Database[Fe],0))</f>
        <v/>
      </c>
      <c r="W148" s="46" t="str" cm="1">
        <f t="array" ref="W148">IF(ISBLANK(PackingList[[#This Row],[Item]]),"", PackingList[[#This Row],[S]]* _xlfn.XLOOKUP(1,(PackingList[[#This Row],[Item]]=Database[Item])*(PackingList[[#This Row],[Brand]]=Database[Brand]),Database[K],0))</f>
        <v/>
      </c>
      <c r="X148" s="44" t="str" cm="1">
        <f t="array" ref="X148:DU148">IFERROR(TRANSPOSE(_xlfn._xlws.SORT(IF(Database[Item]=PackingList[[#This Row],[Item]],Database[Brand],""),1,-1)), "")</f>
        <v/>
      </c>
      <c r="Y148" t="str">
        <v/>
      </c>
      <c r="Z148" t="str">
        <v/>
      </c>
      <c r="AA148" t="str">
        <v/>
      </c>
      <c r="AB148" t="str">
        <v/>
      </c>
      <c r="AC148" t="str">
        <v/>
      </c>
      <c r="AD148" t="str">
        <v/>
      </c>
      <c r="AE148" t="str">
        <v/>
      </c>
      <c r="AF148" t="str">
        <v/>
      </c>
      <c r="AG148" t="str">
        <v/>
      </c>
      <c r="AH148" t="str">
        <v/>
      </c>
      <c r="AI148" t="str">
        <v/>
      </c>
      <c r="AJ148" t="str">
        <v/>
      </c>
      <c r="AK148" t="str">
        <v/>
      </c>
      <c r="AL148" t="str">
        <v/>
      </c>
      <c r="AM148" t="str">
        <v/>
      </c>
      <c r="AN148" t="str">
        <v/>
      </c>
      <c r="AO148" t="str">
        <v/>
      </c>
      <c r="AP148" t="str">
        <v/>
      </c>
      <c r="AQ148" t="str">
        <v/>
      </c>
      <c r="AR148" t="str">
        <v/>
      </c>
      <c r="AS148" t="str">
        <v/>
      </c>
      <c r="AT148" t="str">
        <v/>
      </c>
      <c r="AU148" t="str">
        <v/>
      </c>
      <c r="AV148" t="str">
        <v/>
      </c>
      <c r="AW148" t="str">
        <v/>
      </c>
      <c r="AX148" t="str">
        <v/>
      </c>
      <c r="AY148" t="str">
        <v/>
      </c>
      <c r="AZ148" t="str">
        <v/>
      </c>
      <c r="BA148" t="str">
        <v/>
      </c>
      <c r="BB148" t="str">
        <v/>
      </c>
      <c r="BC148" t="str">
        <v/>
      </c>
      <c r="BD148" t="str">
        <v/>
      </c>
      <c r="BE148" t="str">
        <v/>
      </c>
      <c r="BF148" t="str">
        <v/>
      </c>
      <c r="BG148" t="str">
        <v/>
      </c>
      <c r="BH148" t="str">
        <v/>
      </c>
      <c r="BI148" t="str">
        <v/>
      </c>
      <c r="BJ148" t="str">
        <v/>
      </c>
      <c r="BK148" t="str">
        <v/>
      </c>
      <c r="BL148" t="str">
        <v/>
      </c>
      <c r="BM148" t="str">
        <v/>
      </c>
      <c r="BN148" t="str">
        <v/>
      </c>
      <c r="BO148" t="str">
        <v/>
      </c>
      <c r="BP148" t="str">
        <v/>
      </c>
      <c r="BQ148" t="str">
        <v/>
      </c>
      <c r="BR148" t="str">
        <v/>
      </c>
      <c r="BS148" t="str">
        <v/>
      </c>
      <c r="BT148" t="str">
        <v/>
      </c>
      <c r="BU148" t="str">
        <v/>
      </c>
      <c r="BV148" t="str">
        <v/>
      </c>
      <c r="BW148" t="str">
        <v/>
      </c>
      <c r="BX148" t="str">
        <v/>
      </c>
      <c r="BY148" t="str">
        <v/>
      </c>
      <c r="BZ148" t="str">
        <v/>
      </c>
      <c r="CA148" t="str">
        <v/>
      </c>
      <c r="CB148" t="str">
        <v/>
      </c>
      <c r="CC148" t="str">
        <v/>
      </c>
      <c r="CD148" t="str">
        <v/>
      </c>
      <c r="CE148" t="str">
        <v/>
      </c>
      <c r="CF148" t="str">
        <v/>
      </c>
      <c r="CG148" t="str">
        <v/>
      </c>
      <c r="CH148" t="str">
        <v/>
      </c>
      <c r="CI148" t="str">
        <v/>
      </c>
      <c r="CJ148" t="str">
        <v/>
      </c>
      <c r="CK148" t="str">
        <v/>
      </c>
      <c r="CL148" t="str">
        <v/>
      </c>
      <c r="CM148" t="str">
        <v/>
      </c>
      <c r="CN148" t="str">
        <v/>
      </c>
      <c r="CO148" t="str">
        <v/>
      </c>
      <c r="CP148" t="str">
        <v/>
      </c>
      <c r="CQ148" t="str">
        <v/>
      </c>
      <c r="CR148" t="str">
        <v/>
      </c>
      <c r="CS148" t="str">
        <v/>
      </c>
      <c r="CT148" t="str">
        <v/>
      </c>
      <c r="CU148" t="str">
        <v/>
      </c>
      <c r="CV148" t="str">
        <v/>
      </c>
      <c r="CW148" t="str">
        <v/>
      </c>
      <c r="CX148" t="str">
        <v/>
      </c>
      <c r="CY148" t="str">
        <v/>
      </c>
      <c r="CZ148" t="str">
        <v/>
      </c>
      <c r="DA148" t="str">
        <v/>
      </c>
      <c r="DB148" t="str">
        <v/>
      </c>
      <c r="DC148" t="str">
        <v/>
      </c>
      <c r="DD148" t="str">
        <v/>
      </c>
      <c r="DE148" t="str">
        <v/>
      </c>
      <c r="DF148" t="str">
        <v/>
      </c>
      <c r="DG148" t="str">
        <v/>
      </c>
      <c r="DH148" t="str">
        <v/>
      </c>
      <c r="DI148" t="str">
        <v/>
      </c>
      <c r="DJ148" t="str">
        <v/>
      </c>
      <c r="DK148" t="str">
        <v/>
      </c>
      <c r="DL148" t="str">
        <v/>
      </c>
      <c r="DM148" t="str">
        <v/>
      </c>
      <c r="DN148" t="str">
        <v/>
      </c>
      <c r="DO148" t="str">
        <v/>
      </c>
      <c r="DP148" t="str">
        <v/>
      </c>
      <c r="DQ148" t="str">
        <v/>
      </c>
      <c r="DR148" t="str">
        <v/>
      </c>
      <c r="DS148" t="str">
        <v/>
      </c>
      <c r="DT148" t="str">
        <v/>
      </c>
      <c r="DU148" t="str">
        <v/>
      </c>
    </row>
    <row r="149" spans="2:125" x14ac:dyDescent="0.2">
      <c r="B149"/>
      <c r="D149" s="71" t="str" cm="1">
        <f t="array" ref="D149">IF(ISBLANK(PackingList[[#This Row],[Item]]),"", _xlfn.XLOOKUP(1,(PackingList[[#This Row],[Item]]=Database[Item])*(PackingList[[#This Row],[Brand]]=Database[Brand]),Database[Score],0))</f>
        <v/>
      </c>
      <c r="E149"/>
      <c r="F149" s="41" t="str" cm="1">
        <f t="array" ref="F149">IF(ISBLANK(PackingList[[#This Row],[Item]]),"", PackingList[[#This Row],[S]]* _xlfn.XLOOKUP(1,(PackingList[[#This Row],[Item]]=Database[Item])*(PackingList[[#This Row],[Brand]]=Database[Brand]),Database[Lb]/Database[S],0))</f>
        <v/>
      </c>
      <c r="G149" s="1" t="str">
        <f>IF(ISBLANK(PackingList[[#This Row],[Item]]),"",PackingList[[#This Row],[Lbs]]*16)</f>
        <v/>
      </c>
      <c r="H149" t="str" cm="1">
        <f t="array" ref="H149">IF(ISBLANK(PackingList[[#This Row],[Item]]),"", PackingList[[#This Row],[S]]* _xlfn.XLOOKUP(1,(PackingList[[#This Row],[Item]]=Database[Item])*(PackingList[[#This Row],[Brand]]=Database[Brand]),Database[C/S],0))</f>
        <v/>
      </c>
      <c r="I149" s="45" t="str" cm="1">
        <f t="array" ref="I149">IF(ISBLANK(PackingList[[#This Row],[Item]]),"", PackingList[[#This Row],[S]]* _xlfn.XLOOKUP(1,(PackingList[[#This Row],[Item]]=Database[Item])*(PackingList[[#This Row],[Brand]]=Database[Brand]),Database[$]/Database[S],0))</f>
        <v/>
      </c>
      <c r="J149" s="46" t="str" cm="1">
        <f t="array" ref="J149">IF(ISBLANK(PackingList[[#This Row],[Item]]),"", PackingList[[#This Row],[S]]* _xlfn.XLOOKUP(1,(PackingList[[#This Row],[Item]]=Database[Item])*(PackingList[[#This Row],[Brand]]=Database[Brand]),Database[Fat],0))</f>
        <v/>
      </c>
      <c r="K149" s="46" t="str" cm="1">
        <f t="array" ref="K149">IF(ISBLANK(PackingList[[#This Row],[Item]]),"", PackingList[[#This Row],[S]]* _xlfn.XLOOKUP(1,(PackingList[[#This Row],[Item]]=Database[Item])*(PackingList[[#This Row],[Brand]]=Database[Brand]),Database[S Fat],0))</f>
        <v/>
      </c>
      <c r="L149" s="46" t="str" cm="1">
        <f t="array" ref="L149">IF(ISBLANK(PackingList[[#This Row],[Item]]),"", PackingList[[#This Row],[S]]* _xlfn.XLOOKUP(1,(PackingList[[#This Row],[Item]]=Database[Item])*(PackingList[[#This Row],[Brand]]=Database[Brand]),Database[Chol],0))</f>
        <v/>
      </c>
      <c r="M149" s="46" t="str" cm="1">
        <f t="array" ref="M149">IF(ISBLANK(PackingList[[#This Row],[Item]]),"", PackingList[[#This Row],[S]]* _xlfn.XLOOKUP(1,(PackingList[[#This Row],[Item]]=Database[Item])*(PackingList[[#This Row],[Brand]]=Database[Brand]),Database[Na],0))</f>
        <v/>
      </c>
      <c r="N149" s="46" t="str" cm="1">
        <f t="array" ref="N149">IF(ISBLANK(PackingList[[#This Row],[Item]]),"", PackingList[[#This Row],[S]]* _xlfn.XLOOKUP(1,(PackingList[[#This Row],[Item]]=Database[Item])*(PackingList[[#This Row],[Brand]]=Database[Brand]),Database[Carb],0))</f>
        <v/>
      </c>
      <c r="O149" s="46" t="str" cm="1">
        <f t="array" ref="O149">IF(ISBLANK(PackingList[[#This Row],[Item]]),"", PackingList[[#This Row],[S]]* _xlfn.XLOOKUP(1,(PackingList[[#This Row],[Item]]=Database[Item])*(PackingList[[#This Row],[Brand]]=Database[Brand]),Database[Fib],0))</f>
        <v/>
      </c>
      <c r="P149" s="46" t="str" cm="1">
        <f t="array" ref="P149">IF(ISBLANK(PackingList[[#This Row],[Item]]),"", PackingList[[#This Row],[S]]* _xlfn.XLOOKUP(1,(PackingList[[#This Row],[Item]]=Database[Item])*(PackingList[[#This Row],[Brand]]=Database[Brand]),Database[A. Sug],0))</f>
        <v/>
      </c>
      <c r="Q149" s="46" t="str" cm="1">
        <f t="array" ref="Q149">IF(ISBLANK(PackingList[[#This Row],[Item]]),"", PackingList[[#This Row],[S]]* _xlfn.XLOOKUP(1,(PackingList[[#This Row],[Item]]=Database[Item])*(PackingList[[#This Row],[Brand]]=Database[Brand]),Database[Pro],0))</f>
        <v/>
      </c>
      <c r="R149" s="46" t="str" cm="1">
        <f t="array" ref="R149">IF(ISBLANK(PackingList[[#This Row],[Item]]),"", PackingList[[#This Row],[S]]* _xlfn.XLOOKUP(1,(PackingList[[#This Row],[Item]]=Database[Item])*(PackingList[[#This Row],[Brand]]=Database[Brand]),Database[Vit A],0))</f>
        <v/>
      </c>
      <c r="S149" s="46" t="str" cm="1">
        <f t="array" ref="S149">IF(ISBLANK(PackingList[[#This Row],[Item]]),"", PackingList[[#This Row],[S]]* _xlfn.XLOOKUP(1,(PackingList[[#This Row],[Item]]=Database[Item])*(PackingList[[#This Row],[Brand]]=Database[Brand]),Database[Vit C],0))</f>
        <v/>
      </c>
      <c r="T149" s="46" t="str" cm="1">
        <f t="array" ref="T149">IF(ISBLANK(PackingList[[#This Row],[Item]]),"", PackingList[[#This Row],[S]]* _xlfn.XLOOKUP(1,(PackingList[[#This Row],[Item]]=Database[Item])*(PackingList[[#This Row],[Brand]]=Database[Brand]),Database[Vit D],0))</f>
        <v/>
      </c>
      <c r="U149" s="46" t="str" cm="1">
        <f t="array" ref="U149">IF(ISBLANK(PackingList[[#This Row],[Item]]),"", PackingList[[#This Row],[S]]* _xlfn.XLOOKUP(1,(PackingList[[#This Row],[Item]]=Database[Item])*(PackingList[[#This Row],[Brand]]=Database[Brand]),Database[Ca],0))</f>
        <v/>
      </c>
      <c r="V149" s="47" t="str" cm="1">
        <f t="array" ref="V149">IF(ISBLANK(PackingList[[#This Row],[Item]]),"", PackingList[[#This Row],[S]]* _xlfn.XLOOKUP(1,(PackingList[[#This Row],[Item]]=Database[Item])*(PackingList[[#This Row],[Brand]]=Database[Brand]),Database[Fe],0))</f>
        <v/>
      </c>
      <c r="W149" s="46" t="str" cm="1">
        <f t="array" ref="W149">IF(ISBLANK(PackingList[[#This Row],[Item]]),"", PackingList[[#This Row],[S]]* _xlfn.XLOOKUP(1,(PackingList[[#This Row],[Item]]=Database[Item])*(PackingList[[#This Row],[Brand]]=Database[Brand]),Database[K],0))</f>
        <v/>
      </c>
      <c r="X149" s="44" t="str" cm="1">
        <f t="array" ref="X149:DU149">IFERROR(TRANSPOSE(_xlfn._xlws.SORT(IF(Database[Item]=PackingList[[#This Row],[Item]],Database[Brand],""),1,-1)), "")</f>
        <v/>
      </c>
      <c r="Y149" t="str">
        <v/>
      </c>
      <c r="Z149" t="str">
        <v/>
      </c>
      <c r="AA149" t="str">
        <v/>
      </c>
      <c r="AB149" t="str">
        <v/>
      </c>
      <c r="AC149" t="str">
        <v/>
      </c>
      <c r="AD149" t="str">
        <v/>
      </c>
      <c r="AE149" t="str">
        <v/>
      </c>
      <c r="AF149" t="str">
        <v/>
      </c>
      <c r="AG149" t="str">
        <v/>
      </c>
      <c r="AH149" t="str">
        <v/>
      </c>
      <c r="AI149" t="str">
        <v/>
      </c>
      <c r="AJ149" t="str">
        <v/>
      </c>
      <c r="AK149" t="str">
        <v/>
      </c>
      <c r="AL149" t="str">
        <v/>
      </c>
      <c r="AM149" t="str">
        <v/>
      </c>
      <c r="AN149" t="str">
        <v/>
      </c>
      <c r="AO149" t="str">
        <v/>
      </c>
      <c r="AP149" t="str">
        <v/>
      </c>
      <c r="AQ149" t="str">
        <v/>
      </c>
      <c r="AR149" t="str">
        <v/>
      </c>
      <c r="AS149" t="str">
        <v/>
      </c>
      <c r="AT149" t="str">
        <v/>
      </c>
      <c r="AU149" t="str">
        <v/>
      </c>
      <c r="AV149" t="str">
        <v/>
      </c>
      <c r="AW149" t="str">
        <v/>
      </c>
      <c r="AX149" t="str">
        <v/>
      </c>
      <c r="AY149" t="str">
        <v/>
      </c>
      <c r="AZ149" t="str">
        <v/>
      </c>
      <c r="BA149" t="str">
        <v/>
      </c>
      <c r="BB149" t="str">
        <v/>
      </c>
      <c r="BC149" t="str">
        <v/>
      </c>
      <c r="BD149" t="str">
        <v/>
      </c>
      <c r="BE149" t="str">
        <v/>
      </c>
      <c r="BF149" t="str">
        <v/>
      </c>
      <c r="BG149" t="str">
        <v/>
      </c>
      <c r="BH149" t="str">
        <v/>
      </c>
      <c r="BI149" t="str">
        <v/>
      </c>
      <c r="BJ149" t="str">
        <v/>
      </c>
      <c r="BK149" t="str">
        <v/>
      </c>
      <c r="BL149" t="str">
        <v/>
      </c>
      <c r="BM149" t="str">
        <v/>
      </c>
      <c r="BN149" t="str">
        <v/>
      </c>
      <c r="BO149" t="str">
        <v/>
      </c>
      <c r="BP149" t="str">
        <v/>
      </c>
      <c r="BQ149" t="str">
        <v/>
      </c>
      <c r="BR149" t="str">
        <v/>
      </c>
      <c r="BS149" t="str">
        <v/>
      </c>
      <c r="BT149" t="str">
        <v/>
      </c>
      <c r="BU149" t="str">
        <v/>
      </c>
      <c r="BV149" t="str">
        <v/>
      </c>
      <c r="BW149" t="str">
        <v/>
      </c>
      <c r="BX149" t="str">
        <v/>
      </c>
      <c r="BY149" t="str">
        <v/>
      </c>
      <c r="BZ149" t="str">
        <v/>
      </c>
      <c r="CA149" t="str">
        <v/>
      </c>
      <c r="CB149" t="str">
        <v/>
      </c>
      <c r="CC149" t="str">
        <v/>
      </c>
      <c r="CD149" t="str">
        <v/>
      </c>
      <c r="CE149" t="str">
        <v/>
      </c>
      <c r="CF149" t="str">
        <v/>
      </c>
      <c r="CG149" t="str">
        <v/>
      </c>
      <c r="CH149" t="str">
        <v/>
      </c>
      <c r="CI149" t="str">
        <v/>
      </c>
      <c r="CJ149" t="str">
        <v/>
      </c>
      <c r="CK149" t="str">
        <v/>
      </c>
      <c r="CL149" t="str">
        <v/>
      </c>
      <c r="CM149" t="str">
        <v/>
      </c>
      <c r="CN149" t="str">
        <v/>
      </c>
      <c r="CO149" t="str">
        <v/>
      </c>
      <c r="CP149" t="str">
        <v/>
      </c>
      <c r="CQ149" t="str">
        <v/>
      </c>
      <c r="CR149" t="str">
        <v/>
      </c>
      <c r="CS149" t="str">
        <v/>
      </c>
      <c r="CT149" t="str">
        <v/>
      </c>
      <c r="CU149" t="str">
        <v/>
      </c>
      <c r="CV149" t="str">
        <v/>
      </c>
      <c r="CW149" t="str">
        <v/>
      </c>
      <c r="CX149" t="str">
        <v/>
      </c>
      <c r="CY149" t="str">
        <v/>
      </c>
      <c r="CZ149" t="str">
        <v/>
      </c>
      <c r="DA149" t="str">
        <v/>
      </c>
      <c r="DB149" t="str">
        <v/>
      </c>
      <c r="DC149" t="str">
        <v/>
      </c>
      <c r="DD149" t="str">
        <v/>
      </c>
      <c r="DE149" t="str">
        <v/>
      </c>
      <c r="DF149" t="str">
        <v/>
      </c>
      <c r="DG149" t="str">
        <v/>
      </c>
      <c r="DH149" t="str">
        <v/>
      </c>
      <c r="DI149" t="str">
        <v/>
      </c>
      <c r="DJ149" t="str">
        <v/>
      </c>
      <c r="DK149" t="str">
        <v/>
      </c>
      <c r="DL149" t="str">
        <v/>
      </c>
      <c r="DM149" t="str">
        <v/>
      </c>
      <c r="DN149" t="str">
        <v/>
      </c>
      <c r="DO149" t="str">
        <v/>
      </c>
      <c r="DP149" t="str">
        <v/>
      </c>
      <c r="DQ149" t="str">
        <v/>
      </c>
      <c r="DR149" t="str">
        <v/>
      </c>
      <c r="DS149" t="str">
        <v/>
      </c>
      <c r="DT149" t="str">
        <v/>
      </c>
      <c r="DU149" t="str">
        <v/>
      </c>
    </row>
    <row r="150" spans="2:125" ht="16.5" x14ac:dyDescent="0.25">
      <c r="B150" s="48"/>
      <c r="C150" s="48"/>
      <c r="D150" s="49"/>
      <c r="E150" s="50" t="s">
        <v>235</v>
      </c>
      <c r="F150" s="60">
        <f>SUM(PackingList[Lbs])</f>
        <v>10.147348818940671</v>
      </c>
      <c r="G150" s="60">
        <f>SUM(PackingList[oz])</f>
        <v>162.35758110305073</v>
      </c>
      <c r="H150" s="61">
        <f>SUM(PackingList[C])</f>
        <v>20190</v>
      </c>
      <c r="I150" s="62">
        <f>SUM(PackingList[$])</f>
        <v>41.727984139849291</v>
      </c>
      <c r="J150" s="63">
        <f>SUM(PackingList[Fat])</f>
        <v>10.5</v>
      </c>
      <c r="K150" s="63">
        <f>SUM(PackingList[S Fat])</f>
        <v>10.17</v>
      </c>
      <c r="L150" s="63">
        <f>SUM(PackingList[Chol])</f>
        <v>1.24</v>
      </c>
      <c r="M150" s="63">
        <f>SUM(PackingList[Na])</f>
        <v>11.46</v>
      </c>
      <c r="N150" s="63">
        <f>SUM(PackingList[Carb])</f>
        <v>9.4600000000000009</v>
      </c>
      <c r="O150" s="63">
        <f>SUM(PackingList[Fib])</f>
        <v>8.5300000000000011</v>
      </c>
      <c r="P150" s="63">
        <f>SUM(PackingList[A. Sug])</f>
        <v>3.52</v>
      </c>
      <c r="Q150" s="63">
        <f>SUM(PackingList[Pro])</f>
        <v>12.42</v>
      </c>
      <c r="R150" s="63">
        <f>SUM(PackingList[Vit A])</f>
        <v>2.04</v>
      </c>
      <c r="S150" s="63">
        <f>SUM(PackingList[Vit C])</f>
        <v>16.399999999999999</v>
      </c>
      <c r="T150" s="63">
        <f>SUM(PackingList[Vit D])</f>
        <v>5.8599999999999994</v>
      </c>
      <c r="U150" s="63">
        <f>SUM(PackingList[Ca])</f>
        <v>5.08</v>
      </c>
      <c r="V150" s="63">
        <f>SUM(PackingList[Fe])</f>
        <v>10.34</v>
      </c>
      <c r="W150" s="63">
        <f>SUM(PackingList[K])</f>
        <v>4.8</v>
      </c>
      <c r="AL150" s="59"/>
    </row>
    <row r="151" spans="2:125" s="59" customFormat="1" ht="16.5" x14ac:dyDescent="0.25">
      <c r="B151" s="53"/>
      <c r="C151" s="53"/>
      <c r="D151" s="54"/>
      <c r="E151" s="55" t="s">
        <v>236</v>
      </c>
      <c r="F151" s="56">
        <f>F150/$C$131</f>
        <v>2.0294697637881343</v>
      </c>
      <c r="G151" s="56">
        <f>G150/$C$131</f>
        <v>32.471516220610148</v>
      </c>
      <c r="H151" s="57">
        <f>H150/$C$131</f>
        <v>4038</v>
      </c>
      <c r="I151" s="58">
        <f>I150/$C$131</f>
        <v>8.3455968279698585</v>
      </c>
      <c r="J151" s="68">
        <f>J150/$C$131</f>
        <v>2.1</v>
      </c>
      <c r="K151" s="68">
        <f>K150/$C$131</f>
        <v>2.0339999999999998</v>
      </c>
      <c r="L151" s="68">
        <f>L150/$C$131</f>
        <v>0.248</v>
      </c>
      <c r="M151" s="68">
        <f>M150/$C$131</f>
        <v>2.2920000000000003</v>
      </c>
      <c r="N151" s="68">
        <f>N150/$C$131</f>
        <v>1.8920000000000001</v>
      </c>
      <c r="O151" s="68">
        <f>O150/$C$131</f>
        <v>1.7060000000000002</v>
      </c>
      <c r="P151" s="68">
        <f>P150/$C$131</f>
        <v>0.70399999999999996</v>
      </c>
      <c r="Q151" s="68">
        <f>Q150/$C$131</f>
        <v>2.484</v>
      </c>
      <c r="R151" s="68">
        <f>R150/$C$131</f>
        <v>0.40800000000000003</v>
      </c>
      <c r="S151" s="68">
        <f>S150/$C$131</f>
        <v>3.28</v>
      </c>
      <c r="T151" s="68">
        <f>T150/$C$131</f>
        <v>1.1719999999999999</v>
      </c>
      <c r="U151" s="68">
        <f>U150/$C$131</f>
        <v>1.016</v>
      </c>
      <c r="V151" s="68">
        <f>V150/$C$131</f>
        <v>2.0680000000000001</v>
      </c>
      <c r="W151" s="68">
        <f>W150/$C$131</f>
        <v>0.96</v>
      </c>
    </row>
    <row r="152" spans="2:125" s="59" customFormat="1" ht="16.5" x14ac:dyDescent="0.25">
      <c r="B152" s="65"/>
      <c r="C152" s="64"/>
      <c r="D152" s="66"/>
      <c r="E152" s="54"/>
      <c r="F152" s="64"/>
      <c r="G152" s="64"/>
      <c r="H152" s="61"/>
      <c r="I152" s="55" t="s">
        <v>237</v>
      </c>
      <c r="J152" s="67">
        <f>J151* (2000/$H$151)</f>
        <v>1.0401188707280833</v>
      </c>
      <c r="K152" s="67">
        <f t="shared" ref="K152:W152" si="2">K151* (2000/$H$151)</f>
        <v>1.0074294205052006</v>
      </c>
      <c r="L152" s="67">
        <f t="shared" si="2"/>
        <v>0.12283308568598317</v>
      </c>
      <c r="M152" s="67">
        <f t="shared" si="2"/>
        <v>1.135215453194651</v>
      </c>
      <c r="N152" s="67">
        <f t="shared" si="2"/>
        <v>0.93709757305596841</v>
      </c>
      <c r="O152" s="67">
        <f t="shared" si="2"/>
        <v>0.84497275879148104</v>
      </c>
      <c r="P152" s="67">
        <f t="shared" si="2"/>
        <v>0.34868746904408121</v>
      </c>
      <c r="Q152" s="67">
        <f t="shared" si="2"/>
        <v>1.2303120356612185</v>
      </c>
      <c r="R152" s="67">
        <f t="shared" si="2"/>
        <v>0.2020802377414562</v>
      </c>
      <c r="S152" s="67">
        <f t="shared" si="2"/>
        <v>1.6245666171371966</v>
      </c>
      <c r="T152" s="67">
        <f t="shared" si="2"/>
        <v>0.58048538880633971</v>
      </c>
      <c r="U152" s="67">
        <f t="shared" si="2"/>
        <v>0.50321941555225358</v>
      </c>
      <c r="V152" s="67">
        <f t="shared" si="2"/>
        <v>1.0242694403169887</v>
      </c>
      <c r="W152" s="67">
        <f t="shared" si="2"/>
        <v>0.47548291233283801</v>
      </c>
      <c r="AL152"/>
    </row>
    <row r="153" spans="2:125" x14ac:dyDescent="0.2">
      <c r="B153" s="48"/>
      <c r="C153" s="49"/>
      <c r="D153" s="49"/>
      <c r="E153" s="51"/>
      <c r="F153" s="49"/>
      <c r="G153" s="49"/>
      <c r="H153" s="61"/>
      <c r="I153" s="78" t="s">
        <v>238</v>
      </c>
      <c r="J153" s="52" t="str">
        <f>PackingList[[#Headers],[Fat]]</f>
        <v>Fat</v>
      </c>
      <c r="K153" s="52" t="str">
        <f>PackingList[[#Headers],[S Fat]]</f>
        <v>S Fat</v>
      </c>
      <c r="L153" s="52" t="str">
        <f>PackingList[[#Headers],[Chol]]</f>
        <v>Chol</v>
      </c>
      <c r="M153" s="52" t="str">
        <f>PackingList[[#Headers],[Na]]</f>
        <v>Na</v>
      </c>
      <c r="N153" s="52" t="str">
        <f>PackingList[[#Headers],[Carb]]</f>
        <v>Carb</v>
      </c>
      <c r="O153" s="52" t="str">
        <f>PackingList[[#Headers],[Fib]]</f>
        <v>Fib</v>
      </c>
      <c r="P153" s="52" t="str">
        <f>PackingList[[#Headers],[A. Sug]]</f>
        <v>A. Sug</v>
      </c>
      <c r="Q153" s="52" t="str">
        <f>PackingList[[#Headers],[Pro]]</f>
        <v>Pro</v>
      </c>
      <c r="R153" s="52" t="str">
        <f>PackingList[[#Headers],[Vit A]]</f>
        <v>Vit A</v>
      </c>
      <c r="S153" s="52" t="str">
        <f>PackingList[[#Headers],[Vit C]]</f>
        <v>Vit C</v>
      </c>
      <c r="T153" s="52" t="str">
        <f>PackingList[[#Headers],[Vit D]]</f>
        <v>Vit D</v>
      </c>
      <c r="U153" s="52" t="str">
        <f>PackingList[[#Headers],[Ca]]</f>
        <v>Ca</v>
      </c>
      <c r="V153" s="52" t="str">
        <f>PackingList[[#Headers],[Fe]]</f>
        <v>Fe</v>
      </c>
      <c r="W153" s="52" t="str">
        <f>PackingList[[#Headers],[K]]</f>
        <v>K</v>
      </c>
    </row>
    <row r="154" spans="2:125" x14ac:dyDescent="0.2">
      <c r="E154" s="4"/>
      <c r="F154" s="4"/>
      <c r="H154" s="2"/>
      <c r="K154" s="1"/>
    </row>
    <row r="155" spans="2:125" x14ac:dyDescent="0.2">
      <c r="D155" s="43"/>
      <c r="E155" s="69"/>
      <c r="F155" s="69"/>
      <c r="H155" s="2"/>
      <c r="K155" s="1"/>
    </row>
    <row r="156" spans="2:125" x14ac:dyDescent="0.2">
      <c r="D156" s="43"/>
      <c r="E156" s="69"/>
      <c r="F156" s="69"/>
      <c r="H156" s="2"/>
      <c r="K156" s="1"/>
    </row>
    <row r="157" spans="2:125" x14ac:dyDescent="0.2">
      <c r="D157" s="43"/>
      <c r="E157" s="70"/>
      <c r="F157" s="70"/>
      <c r="H157" s="2"/>
      <c r="K157" s="1"/>
    </row>
    <row r="158" spans="2:125" x14ac:dyDescent="0.2">
      <c r="D158" s="43"/>
      <c r="E158" s="70"/>
      <c r="F158" s="4"/>
      <c r="H158" s="2"/>
      <c r="K158" s="1"/>
    </row>
    <row r="159" spans="2:125" x14ac:dyDescent="0.2">
      <c r="H159" s="2"/>
      <c r="K159" s="1"/>
    </row>
    <row r="160" spans="2:125" x14ac:dyDescent="0.2">
      <c r="H160" s="2"/>
      <c r="K160" s="1"/>
    </row>
    <row r="161" spans="8:11" x14ac:dyDescent="0.2">
      <c r="H161" s="2"/>
      <c r="K161" s="1"/>
    </row>
    <row r="162" spans="8:11" x14ac:dyDescent="0.2">
      <c r="H162" s="2"/>
      <c r="K162" s="1"/>
    </row>
    <row r="163" spans="8:11" x14ac:dyDescent="0.2">
      <c r="K163" s="1"/>
    </row>
    <row r="164" spans="8:11" x14ac:dyDescent="0.2">
      <c r="K164" s="1"/>
    </row>
    <row r="165" spans="8:11" x14ac:dyDescent="0.2">
      <c r="K165" s="1"/>
    </row>
    <row r="166" spans="8:11" x14ac:dyDescent="0.2">
      <c r="K166" s="1"/>
    </row>
    <row r="167" spans="8:11" x14ac:dyDescent="0.2">
      <c r="K167" s="1"/>
    </row>
    <row r="168" spans="8:11" x14ac:dyDescent="0.2">
      <c r="K168" s="1"/>
    </row>
    <row r="169" spans="8:11" x14ac:dyDescent="0.2">
      <c r="K169" s="1"/>
    </row>
    <row r="170" spans="8:11" x14ac:dyDescent="0.2">
      <c r="K170" s="1"/>
    </row>
    <row r="171" spans="8:11" x14ac:dyDescent="0.2">
      <c r="K171" s="1"/>
    </row>
    <row r="172" spans="8:11" x14ac:dyDescent="0.2">
      <c r="K172" s="1"/>
    </row>
    <row r="173" spans="8:11" x14ac:dyDescent="0.2">
      <c r="K173" s="1"/>
    </row>
    <row r="174" spans="8:11" x14ac:dyDescent="0.2">
      <c r="K174" s="1"/>
    </row>
    <row r="175" spans="8:11" x14ac:dyDescent="0.2">
      <c r="K175" s="1"/>
    </row>
    <row r="176" spans="8:11" x14ac:dyDescent="0.2">
      <c r="K176" s="1"/>
    </row>
  </sheetData>
  <mergeCells count="11">
    <mergeCell ref="B133:E133"/>
    <mergeCell ref="W23:AJ23"/>
    <mergeCell ref="B23:K23"/>
    <mergeCell ref="B13:C21"/>
    <mergeCell ref="B2:C2"/>
    <mergeCell ref="B10:C10"/>
    <mergeCell ref="B4:C4"/>
    <mergeCell ref="B5:C5"/>
    <mergeCell ref="B6:C6"/>
    <mergeCell ref="B7:C7"/>
    <mergeCell ref="B8:C8"/>
  </mergeCells>
  <phoneticPr fontId="2" alignment="center"/>
  <conditionalFormatting sqref="E25:E12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52:L152 P152">
    <cfRule type="colorScale" priority="3">
      <colorScale>
        <cfvo type="num" val="0"/>
        <cfvo type="num" val="1"/>
        <cfvo type="num" val="1.5"/>
        <color theme="9" tint="0.39997558519241921"/>
        <color theme="9"/>
        <color rgb="FFFF0000"/>
      </colorScale>
    </cfRule>
  </conditionalFormatting>
  <conditionalFormatting sqref="M152:O152 V152">
    <cfRule type="colorScale" priority="2">
      <colorScale>
        <cfvo type="num" val="0"/>
        <cfvo type="num" val="1"/>
        <cfvo type="num" val="1.5"/>
        <color rgb="FFFF0000"/>
        <color theme="9"/>
        <color rgb="FFFF0000"/>
      </colorScale>
    </cfRule>
  </conditionalFormatting>
  <conditionalFormatting sqref="Q152:U152 W152">
    <cfRule type="colorScale" priority="1">
      <colorScale>
        <cfvo type="num" val="0"/>
        <cfvo type="num" val="1"/>
        <color rgb="FFFF0000"/>
        <color theme="9"/>
      </colorScale>
    </cfRule>
  </conditionalFormatting>
  <dataValidations count="6">
    <dataValidation allowBlank="1" showInputMessage="1" showErrorMessage="1" sqref="I127:N128 I25:O126 F25:F128" xr:uid="{F523B766-CCE1-4B17-B2AB-12C4845DFDFE}"/>
    <dataValidation type="list" allowBlank="1" showInputMessage="1" showErrorMessage="1" sqref="C135:C149" xr:uid="{2DBA8C7B-8842-47BA-945D-AD761179049B}">
      <formula1>$C$25:$C$126</formula1>
    </dataValidation>
    <dataValidation type="list" allowBlank="1" showInputMessage="1" showErrorMessage="1" sqref="G25:G126" xr:uid="{B96F842C-7A5B-438C-8F90-4B8052C78A74}">
      <formula1>$K$14:$K$16</formula1>
    </dataValidation>
    <dataValidation type="list" allowBlank="1" showInputMessage="1" showErrorMessage="1" sqref="H25:H126" xr:uid="{31B4D867-9420-4FDF-9857-52B0C16BA6A9}">
      <formula1>$H$14:$H$21</formula1>
    </dataValidation>
    <dataValidation type="list" allowBlank="1" showInputMessage="1" showErrorMessage="1" sqref="D25:D126" xr:uid="{5DCC3332-7E90-4816-8A4A-A0AD9469FFBB}">
      <formula1>$AL$25:$AL$40</formula1>
    </dataValidation>
    <dataValidation type="list" allowBlank="1" showInputMessage="1" showErrorMessage="1" sqref="B135:B149" xr:uid="{9F0DABB9-AE6A-4672-98C5-5FBB52E621E5}">
      <formula1>X135:ZZ135</formula1>
    </dataValidation>
  </dataValidation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Stelmack, Max</dc:creator>
  <cp:keywords/>
  <dc:description/>
  <cp:lastModifiedBy/>
  <cp:revision/>
  <dcterms:created xsi:type="dcterms:W3CDTF">2024-02-25T18:05:04Z</dcterms:created>
  <dcterms:modified xsi:type="dcterms:W3CDTF">2024-04-04T16:49:38Z</dcterms:modified>
  <cp:category/>
  <cp:contentStatus/>
</cp:coreProperties>
</file>